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6332" windowHeight="9624" activeTab="1"/>
  </bookViews>
  <sheets>
    <sheet name="1C" sheetId="1" r:id="rId1"/>
    <sheet name="UA" sheetId="2" r:id="rId2"/>
    <sheet name="EN" sheetId="3" r:id="rId3"/>
    <sheet name="PL" sheetId="4" r:id="rId4"/>
  </sheets>
  <definedNames>
    <definedName name="Excel_BuiltIn_Print_Area" localSheetId="2">EN!$A$1:$J$10</definedName>
    <definedName name="Excel_BuiltIn_Print_Area" localSheetId="3">PL!$A$1:$J$10</definedName>
    <definedName name="Excel_BuiltIn_Print_Area" localSheetId="1">UA!$A$1:$J$10</definedName>
  </definedNames>
  <calcPr calcId="162913"/>
</workbook>
</file>

<file path=xl/calcChain.xml><?xml version="1.0" encoding="utf-8"?>
<calcChain xmlns="http://schemas.openxmlformats.org/spreadsheetml/2006/main">
  <c r="H1" i="4" l="1"/>
  <c r="E1" i="4"/>
  <c r="A1" i="4"/>
  <c r="H1" i="3"/>
  <c r="E1" i="3"/>
  <c r="A1" i="3"/>
  <c r="A1" i="2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5" i="1"/>
  <c r="Z124" i="1"/>
  <c r="Z123" i="1"/>
  <c r="Z122" i="1"/>
  <c r="Z121" i="1"/>
  <c r="Z49" i="1"/>
  <c r="Z48" i="1"/>
  <c r="Z46" i="1"/>
  <c r="Z45" i="1"/>
  <c r="Z42" i="1"/>
  <c r="Z41" i="1"/>
  <c r="Z40" i="1"/>
  <c r="Z39" i="1"/>
  <c r="Z38" i="1"/>
  <c r="Z37" i="1"/>
  <c r="Z36" i="1"/>
  <c r="Z35" i="1"/>
  <c r="Z34" i="1"/>
  <c r="Z33" i="1"/>
  <c r="Z21" i="1"/>
  <c r="Z18" i="1"/>
  <c r="Z17" i="1"/>
  <c r="Z16" i="1"/>
  <c r="Z14" i="1"/>
  <c r="Z11" i="1"/>
  <c r="A187" i="4"/>
  <c r="A183" i="4"/>
  <c r="A121" i="4"/>
  <c r="A92" i="4"/>
  <c r="L26" i="4"/>
  <c r="A20" i="4"/>
  <c r="A191" i="3"/>
  <c r="A187" i="3"/>
  <c r="A72" i="3"/>
  <c r="A121" i="3"/>
  <c r="A44" i="3"/>
  <c r="A188" i="2"/>
  <c r="A192" i="2"/>
  <c r="A92" i="2"/>
  <c r="A124" i="2"/>
  <c r="A35" i="3"/>
  <c r="A89" i="2"/>
  <c r="A5" i="2"/>
  <c r="A94" i="2"/>
  <c r="A112" i="2"/>
  <c r="A18" i="2"/>
  <c r="A168" i="4"/>
  <c r="A132" i="4"/>
  <c r="A124" i="4"/>
  <c r="A127" i="4"/>
  <c r="A43" i="4"/>
  <c r="A36" i="4"/>
  <c r="A4" i="4"/>
  <c r="A198" i="3"/>
  <c r="A87" i="3"/>
  <c r="A61" i="3"/>
  <c r="A5" i="3"/>
  <c r="L17" i="3"/>
  <c r="A10" i="3"/>
  <c r="A111" i="2"/>
  <c r="A150" i="2"/>
  <c r="L26" i="2"/>
  <c r="A15" i="2"/>
  <c r="A185" i="4"/>
  <c r="A134" i="4"/>
  <c r="A84" i="4"/>
  <c r="A54" i="4"/>
  <c r="A53" i="4"/>
  <c r="L17" i="4"/>
  <c r="A128" i="3"/>
  <c r="L23" i="4"/>
  <c r="A102" i="3"/>
  <c r="A76" i="3"/>
  <c r="L20" i="3"/>
  <c r="A32" i="3"/>
  <c r="A27" i="3"/>
  <c r="A175" i="2"/>
  <c r="A76" i="2"/>
  <c r="A169" i="4"/>
  <c r="A143" i="4"/>
  <c r="A109" i="4"/>
  <c r="A95" i="4"/>
  <c r="L10" i="4"/>
  <c r="A161" i="3"/>
  <c r="A162" i="3"/>
  <c r="A142" i="3"/>
  <c r="A109" i="3"/>
  <c r="A77" i="3"/>
  <c r="A182" i="2"/>
  <c r="A200" i="2"/>
  <c r="A142" i="2"/>
  <c r="A140" i="2"/>
  <c r="A167" i="2"/>
  <c r="A69" i="2"/>
  <c r="A16" i="2"/>
  <c r="L11" i="2"/>
  <c r="A200" i="4"/>
  <c r="A164" i="4"/>
  <c r="A96" i="4"/>
  <c r="A66" i="4"/>
  <c r="A65" i="4"/>
  <c r="A29" i="4"/>
  <c r="A140" i="3"/>
  <c r="A141" i="3"/>
  <c r="A114" i="3"/>
  <c r="A88" i="3"/>
  <c r="A31" i="3"/>
  <c r="A62" i="3"/>
  <c r="A119" i="3"/>
  <c r="A113" i="2"/>
  <c r="A92" i="3"/>
  <c r="A68" i="2"/>
  <c r="A35" i="2"/>
  <c r="A73" i="2"/>
  <c r="A30" i="2"/>
  <c r="A197" i="4"/>
  <c r="A190" i="3"/>
  <c r="A97" i="2"/>
  <c r="A56" i="3"/>
  <c r="A154" i="4"/>
  <c r="A64" i="4"/>
  <c r="A18" i="3"/>
  <c r="A167" i="4"/>
  <c r="A174" i="3"/>
  <c r="A154" i="2"/>
  <c r="A42" i="2"/>
  <c r="A119" i="4"/>
  <c r="A27" i="4"/>
  <c r="A123" i="2"/>
  <c r="A62" i="4"/>
  <c r="A45" i="4"/>
  <c r="A67" i="3"/>
  <c r="A34" i="2"/>
  <c r="A129" i="2"/>
  <c r="A15" i="3"/>
  <c r="A93" i="4"/>
  <c r="A101" i="2"/>
  <c r="A137" i="3"/>
  <c r="A157" i="4"/>
  <c r="A43" i="2"/>
  <c r="A91" i="4"/>
  <c r="A186" i="3"/>
  <c r="A12" i="3"/>
  <c r="A118" i="2"/>
  <c r="A74" i="4"/>
  <c r="A66" i="3"/>
  <c r="A181" i="2"/>
  <c r="A152" i="4"/>
  <c r="A191" i="4"/>
  <c r="A94" i="4"/>
  <c r="A61" i="4"/>
  <c r="L9" i="4"/>
  <c r="A188" i="3"/>
  <c r="A189" i="3"/>
  <c r="A169" i="3"/>
  <c r="A54" i="3"/>
  <c r="A101" i="3"/>
  <c r="L16" i="3"/>
  <c r="A38" i="3"/>
  <c r="A33" i="3"/>
  <c r="A172" i="2"/>
  <c r="A30" i="3"/>
  <c r="A46" i="2"/>
  <c r="A67" i="2"/>
  <c r="L23" i="2"/>
  <c r="A77" i="2"/>
  <c r="A45" i="2"/>
  <c r="A44" i="2"/>
  <c r="A186" i="4"/>
  <c r="A172" i="4"/>
  <c r="A115" i="4"/>
  <c r="A79" i="4"/>
  <c r="A22" i="4"/>
  <c r="A15" i="4"/>
  <c r="A83" i="4"/>
  <c r="A184" i="3"/>
  <c r="A69" i="3"/>
  <c r="A116" i="3"/>
  <c r="A39" i="3"/>
  <c r="A185" i="2"/>
  <c r="A184" i="2"/>
  <c r="A74" i="3"/>
  <c r="A121" i="2"/>
  <c r="A104" i="2"/>
  <c r="A169" i="2"/>
  <c r="A163" i="4"/>
  <c r="A129" i="4"/>
  <c r="A120" i="4"/>
  <c r="A122" i="4"/>
  <c r="A37" i="4"/>
  <c r="A33" i="4"/>
  <c r="A199" i="3"/>
  <c r="A196" i="3"/>
  <c r="A84" i="3"/>
  <c r="A58" i="3"/>
  <c r="L3" i="3"/>
  <c r="A13" i="3"/>
  <c r="L8" i="3"/>
  <c r="A108" i="2"/>
  <c r="A189" i="4"/>
  <c r="A177" i="4"/>
  <c r="A99" i="4"/>
  <c r="A69" i="4"/>
  <c r="A68" i="4"/>
  <c r="A32" i="4"/>
  <c r="A143" i="3"/>
  <c r="A144" i="3"/>
  <c r="A120" i="3"/>
  <c r="A91" i="3"/>
  <c r="A34" i="3"/>
  <c r="A71" i="3"/>
  <c r="A177" i="2"/>
  <c r="A116" i="2"/>
  <c r="A106" i="2"/>
  <c r="A71" i="2"/>
  <c r="A38" i="2"/>
  <c r="A91" i="2"/>
  <c r="A41" i="2"/>
  <c r="A193" i="4"/>
  <c r="A158" i="4"/>
  <c r="A176" i="4"/>
  <c r="A48" i="4"/>
  <c r="A47" i="4"/>
  <c r="L11" i="4"/>
  <c r="A10" i="4"/>
  <c r="A14" i="4"/>
  <c r="A96" i="3"/>
  <c r="A70" i="3"/>
  <c r="L15" i="3"/>
  <c r="A24" i="3"/>
  <c r="A21" i="3"/>
  <c r="A134" i="2"/>
  <c r="A159" i="2"/>
  <c r="A37" i="2"/>
  <c r="A14" i="2"/>
  <c r="A31" i="2"/>
  <c r="A4" i="2"/>
  <c r="A131" i="4"/>
  <c r="A75" i="3"/>
  <c r="A138" i="2"/>
  <c r="A85" i="2"/>
  <c r="A50" i="3"/>
  <c r="A11" i="4"/>
  <c r="A49" i="2"/>
  <c r="A171" i="4"/>
  <c r="A154" i="3"/>
  <c r="A152" i="2"/>
  <c r="A63" i="4"/>
  <c r="A98" i="4"/>
  <c r="A103" i="3"/>
  <c r="A99" i="2"/>
  <c r="A138" i="3"/>
  <c r="A44" i="4"/>
  <c r="A11" i="3"/>
  <c r="A63" i="2"/>
  <c r="L28" i="2"/>
  <c r="A118" i="4"/>
  <c r="A18" i="4"/>
  <c r="A170" i="3"/>
  <c r="A171" i="3"/>
  <c r="A151" i="3"/>
  <c r="A75" i="4"/>
  <c r="A196" i="2"/>
  <c r="A151" i="2"/>
  <c r="A127" i="2"/>
  <c r="A80" i="2"/>
  <c r="L3" i="2"/>
  <c r="A153" i="4"/>
  <c r="A58" i="4"/>
  <c r="A166" i="3"/>
  <c r="A25" i="3"/>
  <c r="A126" i="2"/>
  <c r="A106" i="4"/>
  <c r="L12" i="4"/>
  <c r="A162" i="4"/>
  <c r="A151" i="4"/>
  <c r="A113" i="4"/>
  <c r="A89" i="4"/>
  <c r="A78" i="4"/>
  <c r="A76" i="4"/>
  <c r="A152" i="3"/>
  <c r="A153" i="3"/>
  <c r="A116" i="4"/>
  <c r="A100" i="3"/>
  <c r="A52" i="3"/>
  <c r="A171" i="2"/>
  <c r="A191" i="2"/>
  <c r="A125" i="2"/>
  <c r="A120" i="2"/>
  <c r="A88" i="2"/>
  <c r="A60" i="2"/>
  <c r="A135" i="2"/>
  <c r="A6" i="2"/>
  <c r="L6" i="2"/>
  <c r="L18" i="2"/>
  <c r="A168" i="2"/>
  <c r="A179" i="4"/>
  <c r="A145" i="4"/>
  <c r="A112" i="4"/>
  <c r="A117" i="4"/>
  <c r="L16" i="4"/>
  <c r="A167" i="3"/>
  <c r="A168" i="3"/>
  <c r="A148" i="3"/>
  <c r="A115" i="3"/>
  <c r="A95" i="3"/>
  <c r="A193" i="2"/>
  <c r="L6" i="3"/>
  <c r="A148" i="2"/>
  <c r="A146" i="2"/>
  <c r="A83" i="3"/>
  <c r="A55" i="2"/>
  <c r="A186" i="2"/>
  <c r="A190" i="4"/>
  <c r="A149" i="4"/>
  <c r="A88" i="4"/>
  <c r="A55" i="4"/>
  <c r="A40" i="4"/>
  <c r="A182" i="3"/>
  <c r="A183" i="3"/>
  <c r="A163" i="3"/>
  <c r="A125" i="3"/>
  <c r="A130" i="3"/>
  <c r="L10" i="3"/>
  <c r="L23" i="3"/>
  <c r="A163" i="2"/>
  <c r="A161" i="2"/>
  <c r="A155" i="4"/>
  <c r="A126" i="4"/>
  <c r="A114" i="4"/>
  <c r="A77" i="4"/>
  <c r="A34" i="4"/>
  <c r="A30" i="4"/>
  <c r="A197" i="3"/>
  <c r="A194" i="3"/>
  <c r="A81" i="3"/>
  <c r="A55" i="3"/>
  <c r="A187" i="2"/>
  <c r="L11" i="3"/>
  <c r="A4" i="3"/>
  <c r="A103" i="2"/>
  <c r="A144" i="2"/>
  <c r="A17" i="2"/>
  <c r="A132" i="2"/>
  <c r="L15" i="2"/>
  <c r="A3" i="2"/>
  <c r="A165" i="4"/>
  <c r="A136" i="4"/>
  <c r="A100" i="4"/>
  <c r="A67" i="4"/>
  <c r="L15" i="4"/>
  <c r="L7" i="4"/>
  <c r="L6" i="4"/>
  <c r="A175" i="3"/>
  <c r="A60" i="3"/>
  <c r="A107" i="3"/>
  <c r="L21" i="3"/>
  <c r="A51" i="3"/>
  <c r="A124" i="3"/>
  <c r="L24" i="3"/>
  <c r="A93" i="2"/>
  <c r="A57" i="2"/>
  <c r="A78" i="2"/>
  <c r="A58" i="2"/>
  <c r="L4" i="2"/>
  <c r="A28" i="4"/>
  <c r="A49" i="3"/>
  <c r="A52" i="2"/>
  <c r="A47" i="2"/>
  <c r="A160" i="4"/>
  <c r="L3" i="4"/>
  <c r="A85" i="3"/>
  <c r="A46" i="4"/>
  <c r="A118" i="3"/>
  <c r="A102" i="2"/>
  <c r="A105" i="2"/>
  <c r="L4" i="4"/>
  <c r="A176" i="2"/>
  <c r="L12" i="2"/>
  <c r="A72" i="2"/>
  <c r="A7" i="4"/>
  <c r="A16" i="3"/>
  <c r="A10" i="2"/>
  <c r="A75" i="2"/>
  <c r="A25" i="2"/>
  <c r="A65" i="2"/>
  <c r="L13" i="3"/>
  <c r="L21" i="4"/>
  <c r="A19" i="2"/>
  <c r="L20" i="2"/>
  <c r="A155" i="3"/>
  <c r="A26" i="2"/>
  <c r="A144" i="4"/>
  <c r="A131" i="2"/>
  <c r="L9" i="2"/>
  <c r="A104" i="3"/>
  <c r="L19" i="2"/>
  <c r="A122" i="3"/>
  <c r="A164" i="2"/>
  <c r="L20" i="4"/>
  <c r="L27" i="3"/>
  <c r="A196" i="4"/>
  <c r="A147" i="4"/>
  <c r="A90" i="4"/>
  <c r="A60" i="4"/>
  <c r="A59" i="4"/>
  <c r="L22" i="4"/>
  <c r="A134" i="3"/>
  <c r="A135" i="3"/>
  <c r="A108" i="3"/>
  <c r="A82" i="3"/>
  <c r="L26" i="3"/>
  <c r="A41" i="3"/>
  <c r="A45" i="3"/>
  <c r="A65" i="3"/>
  <c r="A189" i="2"/>
  <c r="A62" i="2"/>
  <c r="A24" i="2"/>
  <c r="A48" i="2"/>
  <c r="A20" i="2"/>
  <c r="A64" i="2"/>
  <c r="A32" i="2"/>
  <c r="A54" i="2"/>
  <c r="A199" i="4"/>
  <c r="A105" i="4"/>
  <c r="A80" i="4"/>
  <c r="A73" i="4"/>
  <c r="A38" i="4"/>
  <c r="A149" i="3"/>
  <c r="A150" i="3"/>
  <c r="L25" i="4"/>
  <c r="A97" i="3"/>
  <c r="A47" i="3"/>
  <c r="A89" i="3"/>
  <c r="A183" i="2"/>
  <c r="A122" i="2"/>
  <c r="A117" i="2"/>
  <c r="A79" i="2"/>
  <c r="A86" i="2"/>
  <c r="L21" i="2"/>
  <c r="A174" i="4"/>
  <c r="A137" i="4"/>
  <c r="A110" i="4"/>
  <c r="A104" i="4"/>
  <c r="A12" i="4"/>
  <c r="A164" i="3"/>
  <c r="A165" i="3"/>
  <c r="A145" i="3"/>
  <c r="A112" i="3"/>
  <c r="A86" i="3"/>
  <c r="A190" i="2"/>
  <c r="A3" i="3"/>
  <c r="A145" i="2"/>
  <c r="A114" i="2"/>
  <c r="A170" i="4"/>
  <c r="A141" i="4"/>
  <c r="A103" i="4"/>
  <c r="A70" i="4"/>
  <c r="A17" i="4"/>
  <c r="A9" i="4"/>
  <c r="A8" i="4"/>
  <c r="A178" i="3"/>
  <c r="A63" i="3"/>
  <c r="A110" i="3"/>
  <c r="A23" i="3"/>
  <c r="A21" i="4"/>
  <c r="A178" i="2"/>
  <c r="A40" i="3"/>
  <c r="A115" i="2"/>
  <c r="A74" i="2"/>
  <c r="A81" i="2"/>
  <c r="A84" i="2"/>
  <c r="A29" i="2"/>
  <c r="A175" i="4"/>
  <c r="A135" i="4"/>
  <c r="A159" i="4"/>
  <c r="A49" i="4"/>
  <c r="A23" i="4"/>
  <c r="A176" i="3"/>
  <c r="A177" i="3"/>
  <c r="A157" i="3"/>
  <c r="L8" i="4"/>
  <c r="A123" i="3"/>
  <c r="L4" i="3"/>
  <c r="A14" i="3"/>
  <c r="A157" i="2"/>
  <c r="A155" i="2"/>
  <c r="A133" i="2"/>
  <c r="A95" i="2"/>
  <c r="A36" i="2"/>
  <c r="A109" i="2"/>
  <c r="A181" i="4"/>
  <c r="L24" i="4"/>
  <c r="L5" i="3"/>
  <c r="A83" i="2"/>
  <c r="L13" i="2"/>
  <c r="A195" i="4"/>
  <c r="A172" i="3"/>
  <c r="A199" i="2"/>
  <c r="A194" i="2"/>
  <c r="A3" i="4"/>
  <c r="L8" i="2"/>
  <c r="A8" i="3"/>
  <c r="A143" i="2"/>
  <c r="A185" i="3"/>
  <c r="A98" i="3"/>
  <c r="A20" i="3"/>
  <c r="A146" i="4"/>
  <c r="A181" i="3"/>
  <c r="A173" i="4"/>
  <c r="A139" i="4"/>
  <c r="A133" i="4"/>
  <c r="A42" i="4"/>
  <c r="A41" i="4"/>
  <c r="A39" i="4"/>
  <c r="L5" i="4"/>
  <c r="A200" i="3"/>
  <c r="A90" i="3"/>
  <c r="A64" i="3"/>
  <c r="L9" i="3"/>
  <c r="A19" i="3"/>
  <c r="L14" i="3"/>
  <c r="A128" i="2"/>
  <c r="A153" i="2"/>
  <c r="A28" i="2"/>
  <c r="A8" i="2"/>
  <c r="L25" i="2"/>
  <c r="A23" i="2"/>
  <c r="A21" i="2"/>
  <c r="A87" i="2"/>
  <c r="A188" i="4"/>
  <c r="A142" i="4"/>
  <c r="A87" i="4"/>
  <c r="A57" i="4"/>
  <c r="A56" i="4"/>
  <c r="A19" i="4"/>
  <c r="A131" i="3"/>
  <c r="A132" i="3"/>
  <c r="A105" i="3"/>
  <c r="A79" i="3"/>
  <c r="A22" i="3"/>
  <c r="A36" i="3"/>
  <c r="A37" i="3"/>
  <c r="A9" i="3"/>
  <c r="A170" i="2"/>
  <c r="A59" i="2"/>
  <c r="A22" i="2"/>
  <c r="A82" i="2"/>
  <c r="A184" i="4"/>
  <c r="A102" i="4"/>
  <c r="A72" i="4"/>
  <c r="A71" i="4"/>
  <c r="A35" i="4"/>
  <c r="A146" i="3"/>
  <c r="A147" i="3"/>
  <c r="A16" i="4"/>
  <c r="A94" i="3"/>
  <c r="A42" i="3"/>
  <c r="A80" i="3"/>
  <c r="A180" i="2"/>
  <c r="A119" i="2"/>
  <c r="A147" i="2"/>
  <c r="A180" i="4"/>
  <c r="A140" i="4"/>
  <c r="A85" i="4"/>
  <c r="A52" i="4"/>
  <c r="L27" i="4"/>
  <c r="A179" i="3"/>
  <c r="A180" i="3"/>
  <c r="A160" i="3"/>
  <c r="A117" i="3"/>
  <c r="A129" i="3"/>
  <c r="A6" i="3"/>
  <c r="L18" i="3"/>
  <c r="A160" i="2"/>
  <c r="A158" i="2"/>
  <c r="A165" i="2"/>
  <c r="A96" i="2"/>
  <c r="A53" i="2"/>
  <c r="A7" i="2"/>
  <c r="A198" i="4"/>
  <c r="A161" i="4"/>
  <c r="A128" i="4"/>
  <c r="A107" i="4"/>
  <c r="A86" i="4"/>
  <c r="A6" i="4"/>
  <c r="A158" i="3"/>
  <c r="A159" i="3"/>
  <c r="A139" i="3"/>
  <c r="A106" i="3"/>
  <c r="A68" i="3"/>
  <c r="A179" i="2"/>
  <c r="A197" i="2"/>
  <c r="A139" i="2"/>
  <c r="A137" i="2"/>
  <c r="A110" i="2"/>
  <c r="A66" i="2"/>
  <c r="L14" i="2"/>
  <c r="A9" i="2"/>
  <c r="A148" i="4"/>
  <c r="A193" i="3"/>
  <c r="A195" i="2"/>
  <c r="A40" i="2"/>
  <c r="L27" i="2"/>
  <c r="A97" i="4"/>
  <c r="A57" i="3"/>
  <c r="A48" i="3"/>
  <c r="A173" i="3"/>
  <c r="L12" i="3"/>
  <c r="A61" i="2"/>
  <c r="A156" i="4"/>
  <c r="A156" i="3"/>
  <c r="A136" i="2"/>
  <c r="A27" i="2"/>
  <c r="A138" i="4"/>
  <c r="A93" i="3"/>
  <c r="A156" i="2"/>
  <c r="L7" i="2"/>
  <c r="A43" i="3"/>
  <c r="A50" i="2"/>
  <c r="A13" i="2"/>
  <c r="A125" i="4"/>
  <c r="A149" i="2"/>
  <c r="L24" i="2"/>
  <c r="L22" i="2"/>
  <c r="A194" i="4"/>
  <c r="A5" i="4"/>
  <c r="A133" i="3"/>
  <c r="A26" i="3"/>
  <c r="A178" i="4"/>
  <c r="L13" i="4"/>
  <c r="A113" i="3"/>
  <c r="A174" i="2"/>
  <c r="A50" i="4"/>
  <c r="A17" i="3"/>
  <c r="L17" i="2"/>
  <c r="A111" i="4"/>
  <c r="A136" i="3"/>
  <c r="A12" i="2"/>
  <c r="L10" i="2"/>
  <c r="A127" i="3"/>
  <c r="A46" i="3"/>
  <c r="A28" i="3"/>
  <c r="A99" i="3"/>
  <c r="A53" i="3"/>
  <c r="A13" i="4"/>
  <c r="A29" i="3"/>
  <c r="A39" i="2"/>
  <c r="A31" i="4"/>
  <c r="A173" i="2"/>
  <c r="A107" i="2"/>
  <c r="A70" i="2"/>
  <c r="A130" i="2"/>
  <c r="A82" i="4"/>
  <c r="A81" i="4"/>
  <c r="A192" i="3"/>
  <c r="A59" i="3"/>
  <c r="A182" i="4"/>
  <c r="L14" i="4"/>
  <c r="L25" i="3"/>
  <c r="L5" i="2"/>
  <c r="A26" i="4"/>
  <c r="A7" i="3"/>
  <c r="A11" i="2"/>
  <c r="L16" i="2"/>
  <c r="A111" i="3"/>
  <c r="L22" i="3"/>
  <c r="A123" i="4"/>
  <c r="A24" i="4"/>
  <c r="A166" i="4"/>
  <c r="L18" i="4"/>
  <c r="A166" i="2"/>
  <c r="A150" i="4"/>
  <c r="A195" i="3"/>
  <c r="A198" i="2"/>
  <c r="A33" i="2"/>
  <c r="A25" i="4"/>
  <c r="A98" i="2"/>
  <c r="A101" i="4"/>
  <c r="A192" i="4"/>
  <c r="A51" i="4"/>
  <c r="A73" i="3"/>
  <c r="A51" i="2"/>
  <c r="A108" i="4"/>
  <c r="A78" i="3"/>
  <c r="A141" i="2"/>
  <c r="A126" i="3"/>
  <c r="A130" i="4"/>
  <c r="A90" i="2"/>
  <c r="A56" i="2"/>
  <c r="A162" i="2"/>
  <c r="A100" i="2"/>
  <c r="L7" i="3"/>
  <c r="J100" i="2" l="1"/>
  <c r="B100" i="2"/>
  <c r="G100" i="2"/>
  <c r="E100" i="2"/>
  <c r="F100" i="2"/>
  <c r="C100" i="2"/>
  <c r="D100" i="2"/>
  <c r="I100" i="2"/>
  <c r="H100" i="2"/>
  <c r="G162" i="2"/>
  <c r="H162" i="2"/>
  <c r="F162" i="2"/>
  <c r="J162" i="2"/>
  <c r="B162" i="2"/>
  <c r="D162" i="2"/>
  <c r="E162" i="2"/>
  <c r="C162" i="2"/>
  <c r="I162" i="2"/>
  <c r="D56" i="2"/>
  <c r="E56" i="2"/>
  <c r="H56" i="2"/>
  <c r="I56" i="2"/>
  <c r="B56" i="2"/>
  <c r="C56" i="2"/>
  <c r="F56" i="2"/>
  <c r="J56" i="2"/>
  <c r="G56" i="2"/>
  <c r="E90" i="2"/>
  <c r="B90" i="2"/>
  <c r="J90" i="2"/>
  <c r="I90" i="2"/>
  <c r="D90" i="2"/>
  <c r="C90" i="2"/>
  <c r="G90" i="2"/>
  <c r="F90" i="2"/>
  <c r="H90" i="2"/>
  <c r="C130" i="4"/>
  <c r="D130" i="4"/>
  <c r="F130" i="4"/>
  <c r="E130" i="4"/>
  <c r="H130" i="4"/>
  <c r="J130" i="4"/>
  <c r="B130" i="4"/>
  <c r="G130" i="4"/>
  <c r="I130" i="4"/>
  <c r="B126" i="3"/>
  <c r="E126" i="3"/>
  <c r="F126" i="3"/>
  <c r="D126" i="3"/>
  <c r="C126" i="3"/>
  <c r="G126" i="3"/>
  <c r="H126" i="3"/>
  <c r="I126" i="3"/>
  <c r="J126" i="3"/>
  <c r="C141" i="2"/>
  <c r="F141" i="2"/>
  <c r="E141" i="2"/>
  <c r="G141" i="2"/>
  <c r="H141" i="2"/>
  <c r="D141" i="2"/>
  <c r="J141" i="2"/>
  <c r="I141" i="2"/>
  <c r="B141" i="2"/>
  <c r="B78" i="3"/>
  <c r="H78" i="3"/>
  <c r="I78" i="3"/>
  <c r="E78" i="3"/>
  <c r="G78" i="3"/>
  <c r="J78" i="3"/>
  <c r="D78" i="3"/>
  <c r="F78" i="3"/>
  <c r="C78" i="3"/>
  <c r="E108" i="4"/>
  <c r="C108" i="4"/>
  <c r="H108" i="4"/>
  <c r="B108" i="4"/>
  <c r="D108" i="4"/>
  <c r="F108" i="4"/>
  <c r="I108" i="4"/>
  <c r="J108" i="4"/>
  <c r="G108" i="4"/>
  <c r="E51" i="2"/>
  <c r="F51" i="2"/>
  <c r="G51" i="2"/>
  <c r="I51" i="2"/>
  <c r="C51" i="2"/>
  <c r="H51" i="2"/>
  <c r="B51" i="2"/>
  <c r="D51" i="2"/>
  <c r="J51" i="2"/>
  <c r="F73" i="3"/>
  <c r="D73" i="3"/>
  <c r="I73" i="3"/>
  <c r="J73" i="3"/>
  <c r="E73" i="3"/>
  <c r="C73" i="3"/>
  <c r="B73" i="3"/>
  <c r="H73" i="3"/>
  <c r="G73" i="3"/>
  <c r="B51" i="4"/>
  <c r="E51" i="4"/>
  <c r="I51" i="4"/>
  <c r="F51" i="4"/>
  <c r="D51" i="4"/>
  <c r="H51" i="4"/>
  <c r="C51" i="4"/>
  <c r="G51" i="4"/>
  <c r="J51" i="4"/>
  <c r="B192" i="4"/>
  <c r="F192" i="4"/>
  <c r="E192" i="4"/>
  <c r="I192" i="4"/>
  <c r="D192" i="4"/>
  <c r="H192" i="4"/>
  <c r="G192" i="4"/>
  <c r="J192" i="4"/>
  <c r="H101" i="4"/>
  <c r="D101" i="4"/>
  <c r="I101" i="4"/>
  <c r="J101" i="4"/>
  <c r="G101" i="4"/>
  <c r="B101" i="4"/>
  <c r="C101" i="4"/>
  <c r="E101" i="4"/>
  <c r="F101" i="4"/>
  <c r="B98" i="2"/>
  <c r="J98" i="2"/>
  <c r="F98" i="2"/>
  <c r="G98" i="2"/>
  <c r="C98" i="2"/>
  <c r="D98" i="2"/>
  <c r="H98" i="2"/>
  <c r="E98" i="2"/>
  <c r="I98" i="2"/>
  <c r="D25" i="4"/>
  <c r="B25" i="4"/>
  <c r="I25" i="4"/>
  <c r="J25" i="4"/>
  <c r="E25" i="4"/>
  <c r="F25" i="4"/>
  <c r="G25" i="4"/>
  <c r="C25" i="4"/>
  <c r="H25" i="4"/>
  <c r="G33" i="2"/>
  <c r="H33" i="2"/>
  <c r="F33" i="2"/>
  <c r="B33" i="2"/>
  <c r="E33" i="2"/>
  <c r="J33" i="2"/>
  <c r="I33" i="2"/>
  <c r="D33" i="2"/>
  <c r="E198" i="2"/>
  <c r="G198" i="2"/>
  <c r="H198" i="2"/>
  <c r="I198" i="2"/>
  <c r="J198" i="2"/>
  <c r="F198" i="2"/>
  <c r="B198" i="2"/>
  <c r="D198" i="2"/>
  <c r="C198" i="2"/>
  <c r="H195" i="3"/>
  <c r="J195" i="3"/>
  <c r="F195" i="3"/>
  <c r="I195" i="3"/>
  <c r="B195" i="3"/>
  <c r="D195" i="3"/>
  <c r="G195" i="3"/>
  <c r="E195" i="3"/>
  <c r="G150" i="4"/>
  <c r="C150" i="4"/>
  <c r="J150" i="4"/>
  <c r="D150" i="4"/>
  <c r="E150" i="4"/>
  <c r="B150" i="4"/>
  <c r="H150" i="4"/>
  <c r="F150" i="4"/>
  <c r="I150" i="4"/>
  <c r="J166" i="2"/>
  <c r="D166" i="2"/>
  <c r="H166" i="2"/>
  <c r="G166" i="2"/>
  <c r="B166" i="2"/>
  <c r="E166" i="2"/>
  <c r="C166" i="2"/>
  <c r="F166" i="2"/>
  <c r="I166" i="2"/>
  <c r="C166" i="4"/>
  <c r="B166" i="4"/>
  <c r="H166" i="4"/>
  <c r="I166" i="4"/>
  <c r="G166" i="4"/>
  <c r="F166" i="4"/>
  <c r="J166" i="4"/>
  <c r="D166" i="4"/>
  <c r="E166" i="4"/>
  <c r="J24" i="4"/>
  <c r="D24" i="4"/>
  <c r="B24" i="4"/>
  <c r="G24" i="4"/>
  <c r="C24" i="4"/>
  <c r="E24" i="4"/>
  <c r="H24" i="4"/>
  <c r="I24" i="4"/>
  <c r="F24" i="4"/>
  <c r="H123" i="4"/>
  <c r="E123" i="4"/>
  <c r="B123" i="4"/>
  <c r="J123" i="4"/>
  <c r="G123" i="4"/>
  <c r="D123" i="4"/>
  <c r="I123" i="4"/>
  <c r="C123" i="4"/>
  <c r="F123" i="4"/>
  <c r="D111" i="3"/>
  <c r="B111" i="3"/>
  <c r="E111" i="3"/>
  <c r="H111" i="3"/>
  <c r="J111" i="3"/>
  <c r="I111" i="3"/>
  <c r="F111" i="3"/>
  <c r="G111" i="3"/>
  <c r="C111" i="3"/>
  <c r="D11" i="2"/>
  <c r="H11" i="2"/>
  <c r="E11" i="2"/>
  <c r="B11" i="2"/>
  <c r="J11" i="2"/>
  <c r="G11" i="2"/>
  <c r="C11" i="2"/>
  <c r="F11" i="2"/>
  <c r="I11" i="2"/>
  <c r="B7" i="3"/>
  <c r="E7" i="3"/>
  <c r="G7" i="3"/>
  <c r="C7" i="3"/>
  <c r="F7" i="3"/>
  <c r="D7" i="3"/>
  <c r="I7" i="3"/>
  <c r="J7" i="3"/>
  <c r="H7" i="3"/>
  <c r="I26" i="4"/>
  <c r="C26" i="4"/>
  <c r="J26" i="4"/>
  <c r="G26" i="4"/>
  <c r="D26" i="4"/>
  <c r="E26" i="4"/>
  <c r="F26" i="4"/>
  <c r="H26" i="4"/>
  <c r="B26" i="4"/>
  <c r="C182" i="4"/>
  <c r="F182" i="4"/>
  <c r="D182" i="4"/>
  <c r="E182" i="4"/>
  <c r="B182" i="4"/>
  <c r="J182" i="4"/>
  <c r="I182" i="4"/>
  <c r="H182" i="4"/>
  <c r="G182" i="4"/>
  <c r="G59" i="3"/>
  <c r="I59" i="3"/>
  <c r="C59" i="3"/>
  <c r="J59" i="3"/>
  <c r="F59" i="3"/>
  <c r="H59" i="3"/>
  <c r="E59" i="3"/>
  <c r="D59" i="3"/>
  <c r="B59" i="3"/>
  <c r="J192" i="3"/>
  <c r="D192" i="3"/>
  <c r="F192" i="3"/>
  <c r="I192" i="3"/>
  <c r="B192" i="3"/>
  <c r="H192" i="3"/>
  <c r="G192" i="3"/>
  <c r="E192" i="3"/>
  <c r="F81" i="4"/>
  <c r="G81" i="4"/>
  <c r="B81" i="4"/>
  <c r="J81" i="4"/>
  <c r="I81" i="4"/>
  <c r="D81" i="4"/>
  <c r="H81" i="4"/>
  <c r="E81" i="4"/>
  <c r="C81" i="4"/>
  <c r="I82" i="4"/>
  <c r="G82" i="4"/>
  <c r="C82" i="4"/>
  <c r="H82" i="4"/>
  <c r="F82" i="4"/>
  <c r="E82" i="4"/>
  <c r="D82" i="4"/>
  <c r="B82" i="4"/>
  <c r="J82" i="4"/>
  <c r="F130" i="2"/>
  <c r="J130" i="2"/>
  <c r="D130" i="2"/>
  <c r="C130" i="2"/>
  <c r="B130" i="2"/>
  <c r="H130" i="2"/>
  <c r="G130" i="2"/>
  <c r="E130" i="2"/>
  <c r="I130" i="2"/>
  <c r="B70" i="2"/>
  <c r="J70" i="2"/>
  <c r="D70" i="2"/>
  <c r="C70" i="2"/>
  <c r="H70" i="2"/>
  <c r="I70" i="2"/>
  <c r="G70" i="2"/>
  <c r="E70" i="2"/>
  <c r="F70" i="2"/>
  <c r="B107" i="2"/>
  <c r="F107" i="2"/>
  <c r="J107" i="2"/>
  <c r="C107" i="2"/>
  <c r="E107" i="2"/>
  <c r="D107" i="2"/>
  <c r="I107" i="2"/>
  <c r="H107" i="2"/>
  <c r="G107" i="2"/>
  <c r="E173" i="2"/>
  <c r="J173" i="2"/>
  <c r="C173" i="2"/>
  <c r="I173" i="2"/>
  <c r="H173" i="2"/>
  <c r="F173" i="2"/>
  <c r="D173" i="2"/>
  <c r="B173" i="2"/>
  <c r="G173" i="2"/>
  <c r="I31" i="4"/>
  <c r="C31" i="4"/>
  <c r="F31" i="4"/>
  <c r="J31" i="4"/>
  <c r="E31" i="4"/>
  <c r="G31" i="4"/>
  <c r="D31" i="4"/>
  <c r="H31" i="4"/>
  <c r="B31" i="4"/>
  <c r="J39" i="2"/>
  <c r="B39" i="2"/>
  <c r="E39" i="2"/>
  <c r="G39" i="2"/>
  <c r="C39" i="2"/>
  <c r="F39" i="2"/>
  <c r="D39" i="2"/>
  <c r="I39" i="2"/>
  <c r="H39" i="2"/>
  <c r="G29" i="3"/>
  <c r="C29" i="3"/>
  <c r="F29" i="3"/>
  <c r="D29" i="3"/>
  <c r="I29" i="3"/>
  <c r="J29" i="3"/>
  <c r="H29" i="3"/>
  <c r="B29" i="3"/>
  <c r="E29" i="3"/>
  <c r="B13" i="4"/>
  <c r="G13" i="4"/>
  <c r="C13" i="4"/>
  <c r="E13" i="4"/>
  <c r="H13" i="4"/>
  <c r="I13" i="4"/>
  <c r="D13" i="4"/>
  <c r="F13" i="4"/>
  <c r="J13" i="4"/>
  <c r="G53" i="3"/>
  <c r="E53" i="3"/>
  <c r="F53" i="3"/>
  <c r="J53" i="3"/>
  <c r="D53" i="3"/>
  <c r="B53" i="3"/>
  <c r="H53" i="3"/>
  <c r="C53" i="3"/>
  <c r="I53" i="3"/>
  <c r="J99" i="3"/>
  <c r="B99" i="3"/>
  <c r="E99" i="3"/>
  <c r="H99" i="3"/>
  <c r="D99" i="3"/>
  <c r="I99" i="3"/>
  <c r="C99" i="3"/>
  <c r="F99" i="3"/>
  <c r="G99" i="3"/>
  <c r="E28" i="3"/>
  <c r="D28" i="3"/>
  <c r="C28" i="3"/>
  <c r="B28" i="3"/>
  <c r="G28" i="3"/>
  <c r="H28" i="3"/>
  <c r="I28" i="3"/>
  <c r="F28" i="3"/>
  <c r="J28" i="3"/>
  <c r="G46" i="3"/>
  <c r="D46" i="3"/>
  <c r="J46" i="3"/>
  <c r="F46" i="3"/>
  <c r="C46" i="3"/>
  <c r="B46" i="3"/>
  <c r="I46" i="3"/>
  <c r="E46" i="3"/>
  <c r="H46" i="3"/>
  <c r="J127" i="3"/>
  <c r="G127" i="3"/>
  <c r="F127" i="3"/>
  <c r="D127" i="3"/>
  <c r="E127" i="3"/>
  <c r="B127" i="3"/>
  <c r="I127" i="3"/>
  <c r="H127" i="3"/>
  <c r="C127" i="3"/>
  <c r="G12" i="2"/>
  <c r="J12" i="2"/>
  <c r="C12" i="2"/>
  <c r="H12" i="2"/>
  <c r="E12" i="2"/>
  <c r="B12" i="2"/>
  <c r="I12" i="2"/>
  <c r="D12" i="2"/>
  <c r="F12" i="2"/>
  <c r="F136" i="3"/>
  <c r="J136" i="3"/>
  <c r="B136" i="3"/>
  <c r="H136" i="3"/>
  <c r="D136" i="3"/>
  <c r="G136" i="3"/>
  <c r="C136" i="3"/>
  <c r="E136" i="3"/>
  <c r="I136" i="3"/>
  <c r="E111" i="4"/>
  <c r="B111" i="4"/>
  <c r="C111" i="4"/>
  <c r="D111" i="4"/>
  <c r="I111" i="4"/>
  <c r="G111" i="4"/>
  <c r="F111" i="4"/>
  <c r="H111" i="4"/>
  <c r="J111" i="4"/>
  <c r="I17" i="3"/>
  <c r="J17" i="3"/>
  <c r="D17" i="3"/>
  <c r="F17" i="3"/>
  <c r="H17" i="3"/>
  <c r="B17" i="3"/>
  <c r="G17" i="3"/>
  <c r="E17" i="3"/>
  <c r="C17" i="3"/>
  <c r="E50" i="4"/>
  <c r="H50" i="4"/>
  <c r="J50" i="4"/>
  <c r="D50" i="4"/>
  <c r="F50" i="4"/>
  <c r="I50" i="4"/>
  <c r="C50" i="4"/>
  <c r="B50" i="4"/>
  <c r="G50" i="4"/>
  <c r="I174" i="2"/>
  <c r="G174" i="2"/>
  <c r="H174" i="2"/>
  <c r="J174" i="2"/>
  <c r="B174" i="2"/>
  <c r="E174" i="2"/>
  <c r="D174" i="2"/>
  <c r="F174" i="2"/>
  <c r="G113" i="3"/>
  <c r="D113" i="3"/>
  <c r="F113" i="3"/>
  <c r="C113" i="3"/>
  <c r="E113" i="3"/>
  <c r="I113" i="3"/>
  <c r="H113" i="3"/>
  <c r="J113" i="3"/>
  <c r="B113" i="3"/>
  <c r="I178" i="4"/>
  <c r="C178" i="4"/>
  <c r="E178" i="4"/>
  <c r="B178" i="4"/>
  <c r="D178" i="4"/>
  <c r="H178" i="4"/>
  <c r="G178" i="4"/>
  <c r="J178" i="4"/>
  <c r="F178" i="4"/>
  <c r="B26" i="3"/>
  <c r="J26" i="3"/>
  <c r="I26" i="3"/>
  <c r="D26" i="3"/>
  <c r="C26" i="3"/>
  <c r="G26" i="3"/>
  <c r="H26" i="3"/>
  <c r="F26" i="3"/>
  <c r="E26" i="3"/>
  <c r="C133" i="3"/>
  <c r="J133" i="3"/>
  <c r="E133" i="3"/>
  <c r="F133" i="3"/>
  <c r="G133" i="3"/>
  <c r="D133" i="3"/>
  <c r="B133" i="3"/>
  <c r="H133" i="3"/>
  <c r="I133" i="3"/>
  <c r="I5" i="4"/>
  <c r="H5" i="4"/>
  <c r="D5" i="4"/>
  <c r="J5" i="4"/>
  <c r="C5" i="4"/>
  <c r="B5" i="4"/>
  <c r="G5" i="4"/>
  <c r="E5" i="4"/>
  <c r="F5" i="4"/>
  <c r="I194" i="4"/>
  <c r="E194" i="4"/>
  <c r="J194" i="4"/>
  <c r="H194" i="4"/>
  <c r="B194" i="4"/>
  <c r="D194" i="4"/>
  <c r="F194" i="4"/>
  <c r="G194" i="4"/>
  <c r="F149" i="2"/>
  <c r="I149" i="2"/>
  <c r="E149" i="2"/>
  <c r="J149" i="2"/>
  <c r="G149" i="2"/>
  <c r="D149" i="2"/>
  <c r="C149" i="2"/>
  <c r="H149" i="2"/>
  <c r="B149" i="2"/>
  <c r="C125" i="4"/>
  <c r="H125" i="4"/>
  <c r="F125" i="4"/>
  <c r="J125" i="4"/>
  <c r="I125" i="4"/>
  <c r="D125" i="4"/>
  <c r="G125" i="4"/>
  <c r="B125" i="4"/>
  <c r="E125" i="4"/>
  <c r="I13" i="2"/>
  <c r="E13" i="2"/>
  <c r="H13" i="2"/>
  <c r="D13" i="2"/>
  <c r="C13" i="2"/>
  <c r="J13" i="2"/>
  <c r="B13" i="2"/>
  <c r="G13" i="2"/>
  <c r="F13" i="2"/>
  <c r="F50" i="2"/>
  <c r="J50" i="2"/>
  <c r="H50" i="2"/>
  <c r="B50" i="2"/>
  <c r="I50" i="2"/>
  <c r="G50" i="2"/>
  <c r="D50" i="2"/>
  <c r="E50" i="2"/>
  <c r="C43" i="3"/>
  <c r="B43" i="3"/>
  <c r="E43" i="3"/>
  <c r="F43" i="3"/>
  <c r="G43" i="3"/>
  <c r="I43" i="3"/>
  <c r="D43" i="3"/>
  <c r="H43" i="3"/>
  <c r="J43" i="3"/>
  <c r="E156" i="2"/>
  <c r="F156" i="2"/>
  <c r="B156" i="2"/>
  <c r="J156" i="2"/>
  <c r="I156" i="2"/>
  <c r="D156" i="2"/>
  <c r="C156" i="2"/>
  <c r="H156" i="2"/>
  <c r="G156" i="2"/>
  <c r="B93" i="3"/>
  <c r="F93" i="3"/>
  <c r="G93" i="3"/>
  <c r="D93" i="3"/>
  <c r="J93" i="3"/>
  <c r="E93" i="3"/>
  <c r="C93" i="3"/>
  <c r="I93" i="3"/>
  <c r="H93" i="3"/>
  <c r="I138" i="4"/>
  <c r="E138" i="4"/>
  <c r="B138" i="4"/>
  <c r="H138" i="4"/>
  <c r="J138" i="4"/>
  <c r="D138" i="4"/>
  <c r="G138" i="4"/>
  <c r="C138" i="4"/>
  <c r="F138" i="4"/>
  <c r="G27" i="2"/>
  <c r="E27" i="2"/>
  <c r="F27" i="2"/>
  <c r="D27" i="2"/>
  <c r="C27" i="2"/>
  <c r="J27" i="2"/>
  <c r="H27" i="2"/>
  <c r="B27" i="2"/>
  <c r="I27" i="2"/>
  <c r="B136" i="2"/>
  <c r="F136" i="2"/>
  <c r="I136" i="2"/>
  <c r="E136" i="2"/>
  <c r="C136" i="2"/>
  <c r="D136" i="2"/>
  <c r="H136" i="2"/>
  <c r="J136" i="2"/>
  <c r="G136" i="2"/>
  <c r="B156" i="3"/>
  <c r="C156" i="3"/>
  <c r="G156" i="3"/>
  <c r="J156" i="3"/>
  <c r="E156" i="3"/>
  <c r="F156" i="3"/>
  <c r="D156" i="3"/>
  <c r="I156" i="3"/>
  <c r="H156" i="3"/>
  <c r="B156" i="4"/>
  <c r="I156" i="4"/>
  <c r="D156" i="4"/>
  <c r="C156" i="4"/>
  <c r="G156" i="4"/>
  <c r="E156" i="4"/>
  <c r="F156" i="4"/>
  <c r="H156" i="4"/>
  <c r="J156" i="4"/>
  <c r="D61" i="2"/>
  <c r="I61" i="2"/>
  <c r="F61" i="2"/>
  <c r="G61" i="2"/>
  <c r="B61" i="2"/>
  <c r="C61" i="2"/>
  <c r="J61" i="2"/>
  <c r="H61" i="2"/>
  <c r="E61" i="2"/>
  <c r="F173" i="3"/>
  <c r="J173" i="3"/>
  <c r="E173" i="3"/>
  <c r="G173" i="3"/>
  <c r="B173" i="3"/>
  <c r="H173" i="3"/>
  <c r="D173" i="3"/>
  <c r="I173" i="3"/>
  <c r="C173" i="3"/>
  <c r="I48" i="3"/>
  <c r="F48" i="3"/>
  <c r="D48" i="3"/>
  <c r="H48" i="3"/>
  <c r="E48" i="3"/>
  <c r="J48" i="3"/>
  <c r="B48" i="3"/>
  <c r="C48" i="3"/>
  <c r="G48" i="3"/>
  <c r="B57" i="3"/>
  <c r="F57" i="3"/>
  <c r="G57" i="3"/>
  <c r="D57" i="3"/>
  <c r="J57" i="3"/>
  <c r="E57" i="3"/>
  <c r="C57" i="3"/>
  <c r="I57" i="3"/>
  <c r="H57" i="3"/>
  <c r="I97" i="4"/>
  <c r="C97" i="4"/>
  <c r="D97" i="4"/>
  <c r="B97" i="4"/>
  <c r="F97" i="4"/>
  <c r="G97" i="4"/>
  <c r="E97" i="4"/>
  <c r="J97" i="4"/>
  <c r="H97" i="4"/>
  <c r="F40" i="2"/>
  <c r="G40" i="2"/>
  <c r="E40" i="2"/>
  <c r="H40" i="2"/>
  <c r="J40" i="2"/>
  <c r="C40" i="2"/>
  <c r="D40" i="2"/>
  <c r="I40" i="2"/>
  <c r="B40" i="2"/>
  <c r="J195" i="2"/>
  <c r="D195" i="2"/>
  <c r="I195" i="2"/>
  <c r="B195" i="2"/>
  <c r="C195" i="2"/>
  <c r="H195" i="2"/>
  <c r="F195" i="2"/>
  <c r="E195" i="2"/>
  <c r="G195" i="2"/>
  <c r="H193" i="3"/>
  <c r="J193" i="3"/>
  <c r="I193" i="3"/>
  <c r="D193" i="3"/>
  <c r="B193" i="3"/>
  <c r="G193" i="3"/>
  <c r="F193" i="3"/>
  <c r="E193" i="3"/>
  <c r="G148" i="4"/>
  <c r="I148" i="4"/>
  <c r="B148" i="4"/>
  <c r="H148" i="4"/>
  <c r="F148" i="4"/>
  <c r="D148" i="4"/>
  <c r="C148" i="4"/>
  <c r="E148" i="4"/>
  <c r="J148" i="4"/>
  <c r="E9" i="2"/>
  <c r="B9" i="2"/>
  <c r="F9" i="2"/>
  <c r="J9" i="2"/>
  <c r="I9" i="2"/>
  <c r="D9" i="2"/>
  <c r="C9" i="2"/>
  <c r="G9" i="2"/>
  <c r="H9" i="2"/>
  <c r="D66" i="2"/>
  <c r="H66" i="2"/>
  <c r="I66" i="2"/>
  <c r="F66" i="2"/>
  <c r="E66" i="2"/>
  <c r="B66" i="2"/>
  <c r="J66" i="2"/>
  <c r="G66" i="2"/>
  <c r="C66" i="2"/>
  <c r="B110" i="2"/>
  <c r="I110" i="2"/>
  <c r="F110" i="2"/>
  <c r="J110" i="2"/>
  <c r="E110" i="2"/>
  <c r="D110" i="2"/>
  <c r="C110" i="2"/>
  <c r="H110" i="2"/>
  <c r="G110" i="2"/>
  <c r="G137" i="2"/>
  <c r="I137" i="2"/>
  <c r="C137" i="2"/>
  <c r="J137" i="2"/>
  <c r="F137" i="2"/>
  <c r="D137" i="2"/>
  <c r="H137" i="2"/>
  <c r="B137" i="2"/>
  <c r="E137" i="2"/>
  <c r="D139" i="2"/>
  <c r="E139" i="2"/>
  <c r="J139" i="2"/>
  <c r="G139" i="2"/>
  <c r="I139" i="2"/>
  <c r="B139" i="2"/>
  <c r="C139" i="2"/>
  <c r="F139" i="2"/>
  <c r="H139" i="2"/>
  <c r="J197" i="2"/>
  <c r="G197" i="2"/>
  <c r="I197" i="2"/>
  <c r="C197" i="2"/>
  <c r="F197" i="2"/>
  <c r="H197" i="2"/>
  <c r="D197" i="2"/>
  <c r="B197" i="2"/>
  <c r="E197" i="2"/>
  <c r="J179" i="2"/>
  <c r="G179" i="2"/>
  <c r="D179" i="2"/>
  <c r="H179" i="2"/>
  <c r="F179" i="2"/>
  <c r="C179" i="2"/>
  <c r="I179" i="2"/>
  <c r="B179" i="2"/>
  <c r="E179" i="2"/>
  <c r="F68" i="3"/>
  <c r="G68" i="3"/>
  <c r="D68" i="3"/>
  <c r="E68" i="3"/>
  <c r="I68" i="3"/>
  <c r="B68" i="3"/>
  <c r="C68" i="3"/>
  <c r="H68" i="3"/>
  <c r="J68" i="3"/>
  <c r="C106" i="3"/>
  <c r="I106" i="3"/>
  <c r="D106" i="3"/>
  <c r="J106" i="3"/>
  <c r="H106" i="3"/>
  <c r="E106" i="3"/>
  <c r="F106" i="3"/>
  <c r="B106" i="3"/>
  <c r="G106" i="3"/>
  <c r="B139" i="3"/>
  <c r="I139" i="3"/>
  <c r="C139" i="3"/>
  <c r="D139" i="3"/>
  <c r="G139" i="3"/>
  <c r="H139" i="3"/>
  <c r="J139" i="3"/>
  <c r="F139" i="3"/>
  <c r="E139" i="3"/>
  <c r="D159" i="3"/>
  <c r="C159" i="3"/>
  <c r="H159" i="3"/>
  <c r="F159" i="3"/>
  <c r="E159" i="3"/>
  <c r="B159" i="3"/>
  <c r="J159" i="3"/>
  <c r="G159" i="3"/>
  <c r="I159" i="3"/>
  <c r="G158" i="3"/>
  <c r="H158" i="3"/>
  <c r="F158" i="3"/>
  <c r="E158" i="3"/>
  <c r="D158" i="3"/>
  <c r="J158" i="3"/>
  <c r="B158" i="3"/>
  <c r="I158" i="3"/>
  <c r="C158" i="3"/>
  <c r="J6" i="4"/>
  <c r="D6" i="4"/>
  <c r="B6" i="4"/>
  <c r="C6" i="4"/>
  <c r="G6" i="4"/>
  <c r="H6" i="4"/>
  <c r="E6" i="4"/>
  <c r="F6" i="4"/>
  <c r="I6" i="4"/>
  <c r="F86" i="4"/>
  <c r="G86" i="4"/>
  <c r="C86" i="4"/>
  <c r="I86" i="4"/>
  <c r="E86" i="4"/>
  <c r="H86" i="4"/>
  <c r="B86" i="4"/>
  <c r="J86" i="4"/>
  <c r="D86" i="4"/>
  <c r="C107" i="4"/>
  <c r="H107" i="4"/>
  <c r="D107" i="4"/>
  <c r="F107" i="4"/>
  <c r="J107" i="4"/>
  <c r="I107" i="4"/>
  <c r="G107" i="4"/>
  <c r="E107" i="4"/>
  <c r="B107" i="4"/>
  <c r="I128" i="4"/>
  <c r="F128" i="4"/>
  <c r="D128" i="4"/>
  <c r="B128" i="4"/>
  <c r="H128" i="4"/>
  <c r="C128" i="4"/>
  <c r="E128" i="4"/>
  <c r="G128" i="4"/>
  <c r="J128" i="4"/>
  <c r="I161" i="4"/>
  <c r="F161" i="4"/>
  <c r="H161" i="4"/>
  <c r="E161" i="4"/>
  <c r="G161" i="4"/>
  <c r="D161" i="4"/>
  <c r="J161" i="4"/>
  <c r="B161" i="4"/>
  <c r="C161" i="4"/>
  <c r="H198" i="4"/>
  <c r="G198" i="4"/>
  <c r="D198" i="4"/>
  <c r="F198" i="4"/>
  <c r="J198" i="4"/>
  <c r="B198" i="4"/>
  <c r="I198" i="4"/>
  <c r="E198" i="4"/>
  <c r="F7" i="2"/>
  <c r="J7" i="2"/>
  <c r="D7" i="2"/>
  <c r="H7" i="2"/>
  <c r="C7" i="2"/>
  <c r="E7" i="2"/>
  <c r="I7" i="2"/>
  <c r="B7" i="2"/>
  <c r="G7" i="2"/>
  <c r="B53" i="2"/>
  <c r="J53" i="2"/>
  <c r="D53" i="2"/>
  <c r="C53" i="2"/>
  <c r="F53" i="2"/>
  <c r="I53" i="2"/>
  <c r="H53" i="2"/>
  <c r="E53" i="2"/>
  <c r="G53" i="2"/>
  <c r="B96" i="2"/>
  <c r="H96" i="2"/>
  <c r="F96" i="2"/>
  <c r="I96" i="2"/>
  <c r="D96" i="2"/>
  <c r="E96" i="2"/>
  <c r="G96" i="2"/>
  <c r="C96" i="2"/>
  <c r="J96" i="2"/>
  <c r="E165" i="2"/>
  <c r="F165" i="2"/>
  <c r="I165" i="2"/>
  <c r="C165" i="2"/>
  <c r="D165" i="2"/>
  <c r="H165" i="2"/>
  <c r="B165" i="2"/>
  <c r="G165" i="2"/>
  <c r="J165" i="2"/>
  <c r="C158" i="2"/>
  <c r="I158" i="2"/>
  <c r="D158" i="2"/>
  <c r="H158" i="2"/>
  <c r="B158" i="2"/>
  <c r="F158" i="2"/>
  <c r="G158" i="2"/>
  <c r="E158" i="2"/>
  <c r="J158" i="2"/>
  <c r="I160" i="2"/>
  <c r="E160" i="2"/>
  <c r="C160" i="2"/>
  <c r="D160" i="2"/>
  <c r="H160" i="2"/>
  <c r="J160" i="2"/>
  <c r="G160" i="2"/>
  <c r="B160" i="2"/>
  <c r="F160" i="2"/>
  <c r="F6" i="3"/>
  <c r="I6" i="3"/>
  <c r="H6" i="3"/>
  <c r="G6" i="3"/>
  <c r="C6" i="3"/>
  <c r="J6" i="3"/>
  <c r="B6" i="3"/>
  <c r="E6" i="3"/>
  <c r="D6" i="3"/>
  <c r="F129" i="3"/>
  <c r="I129" i="3"/>
  <c r="H129" i="3"/>
  <c r="D129" i="3"/>
  <c r="E129" i="3"/>
  <c r="B129" i="3"/>
  <c r="J129" i="3"/>
  <c r="C129" i="3"/>
  <c r="G129" i="3"/>
  <c r="C117" i="3"/>
  <c r="I117" i="3"/>
  <c r="B117" i="3"/>
  <c r="H117" i="3"/>
  <c r="D117" i="3"/>
  <c r="E117" i="3"/>
  <c r="J117" i="3"/>
  <c r="G117" i="3"/>
  <c r="F117" i="3"/>
  <c r="J160" i="3"/>
  <c r="B160" i="3"/>
  <c r="C160" i="3"/>
  <c r="I160" i="3"/>
  <c r="G160" i="3"/>
  <c r="D160" i="3"/>
  <c r="E160" i="3"/>
  <c r="H160" i="3"/>
  <c r="F160" i="3"/>
  <c r="J180" i="3"/>
  <c r="F180" i="3"/>
  <c r="H180" i="3"/>
  <c r="B180" i="3"/>
  <c r="I180" i="3"/>
  <c r="G180" i="3"/>
  <c r="C180" i="3"/>
  <c r="E180" i="3"/>
  <c r="D180" i="3"/>
  <c r="H179" i="3"/>
  <c r="E179" i="3"/>
  <c r="G179" i="3"/>
  <c r="B179" i="3"/>
  <c r="D179" i="3"/>
  <c r="J179" i="3"/>
  <c r="I179" i="3"/>
  <c r="C179" i="3"/>
  <c r="F179" i="3"/>
  <c r="C52" i="4"/>
  <c r="J52" i="4"/>
  <c r="D52" i="4"/>
  <c r="B52" i="4"/>
  <c r="I52" i="4"/>
  <c r="G52" i="4"/>
  <c r="E52" i="4"/>
  <c r="F52" i="4"/>
  <c r="H52" i="4"/>
  <c r="C85" i="4"/>
  <c r="H85" i="4"/>
  <c r="G85" i="4"/>
  <c r="F85" i="4"/>
  <c r="J85" i="4"/>
  <c r="I85" i="4"/>
  <c r="D85" i="4"/>
  <c r="B85" i="4"/>
  <c r="E85" i="4"/>
  <c r="G140" i="4"/>
  <c r="F140" i="4"/>
  <c r="B140" i="4"/>
  <c r="E140" i="4"/>
  <c r="J140" i="4"/>
  <c r="D140" i="4"/>
  <c r="I140" i="4"/>
  <c r="H140" i="4"/>
  <c r="C140" i="4"/>
  <c r="E180" i="4"/>
  <c r="H180" i="4"/>
  <c r="D180" i="4"/>
  <c r="F180" i="4"/>
  <c r="G180" i="4"/>
  <c r="I180" i="4"/>
  <c r="J180" i="4"/>
  <c r="C180" i="4"/>
  <c r="B180" i="4"/>
  <c r="F147" i="2"/>
  <c r="I147" i="2"/>
  <c r="E147" i="2"/>
  <c r="C147" i="2"/>
  <c r="H147" i="2"/>
  <c r="J147" i="2"/>
  <c r="B147" i="2"/>
  <c r="G147" i="2"/>
  <c r="D147" i="2"/>
  <c r="G119" i="2"/>
  <c r="I119" i="2"/>
  <c r="B119" i="2"/>
  <c r="C119" i="2"/>
  <c r="F119" i="2"/>
  <c r="J119" i="2"/>
  <c r="E119" i="2"/>
  <c r="H119" i="2"/>
  <c r="D119" i="2"/>
  <c r="G180" i="2"/>
  <c r="I180" i="2"/>
  <c r="J180" i="2"/>
  <c r="F180" i="2"/>
  <c r="C180" i="2"/>
  <c r="D180" i="2"/>
  <c r="H180" i="2"/>
  <c r="E180" i="2"/>
  <c r="B180" i="2"/>
  <c r="B80" i="3"/>
  <c r="D80" i="3"/>
  <c r="H80" i="3"/>
  <c r="E80" i="3"/>
  <c r="I80" i="3"/>
  <c r="G80" i="3"/>
  <c r="F80" i="3"/>
  <c r="J80" i="3"/>
  <c r="C80" i="3"/>
  <c r="D42" i="3"/>
  <c r="B42" i="3"/>
  <c r="H42" i="3"/>
  <c r="I42" i="3"/>
  <c r="C42" i="3"/>
  <c r="G42" i="3"/>
  <c r="F42" i="3"/>
  <c r="E42" i="3"/>
  <c r="J42" i="3"/>
  <c r="E94" i="3"/>
  <c r="B94" i="3"/>
  <c r="G94" i="3"/>
  <c r="C94" i="3"/>
  <c r="I94" i="3"/>
  <c r="F94" i="3"/>
  <c r="D94" i="3"/>
  <c r="H94" i="3"/>
  <c r="J94" i="3"/>
  <c r="I16" i="4"/>
  <c r="E16" i="4"/>
  <c r="G16" i="4"/>
  <c r="H16" i="4"/>
  <c r="D16" i="4"/>
  <c r="B16" i="4"/>
  <c r="C16" i="4"/>
  <c r="F16" i="4"/>
  <c r="J16" i="4"/>
  <c r="J147" i="3"/>
  <c r="D147" i="3"/>
  <c r="B147" i="3"/>
  <c r="E147" i="3"/>
  <c r="G147" i="3"/>
  <c r="I147" i="3"/>
  <c r="F147" i="3"/>
  <c r="C147" i="3"/>
  <c r="H147" i="3"/>
  <c r="F146" i="3"/>
  <c r="E146" i="3"/>
  <c r="B146" i="3"/>
  <c r="D146" i="3"/>
  <c r="J146" i="3"/>
  <c r="I146" i="3"/>
  <c r="C146" i="3"/>
  <c r="G146" i="3"/>
  <c r="H146" i="3"/>
  <c r="C35" i="4"/>
  <c r="H35" i="4"/>
  <c r="D35" i="4"/>
  <c r="J35" i="4"/>
  <c r="E35" i="4"/>
  <c r="B35" i="4"/>
  <c r="G35" i="4"/>
  <c r="I35" i="4"/>
  <c r="F35" i="4"/>
  <c r="H71" i="4"/>
  <c r="J71" i="4"/>
  <c r="C71" i="4"/>
  <c r="I71" i="4"/>
  <c r="B71" i="4"/>
  <c r="G71" i="4"/>
  <c r="F71" i="4"/>
  <c r="E71" i="4"/>
  <c r="D71" i="4"/>
  <c r="G72" i="4"/>
  <c r="C72" i="4"/>
  <c r="D72" i="4"/>
  <c r="B72" i="4"/>
  <c r="J72" i="4"/>
  <c r="F72" i="4"/>
  <c r="H72" i="4"/>
  <c r="I72" i="4"/>
  <c r="E72" i="4"/>
  <c r="B102" i="4"/>
  <c r="I102" i="4"/>
  <c r="F102" i="4"/>
  <c r="C102" i="4"/>
  <c r="D102" i="4"/>
  <c r="E102" i="4"/>
  <c r="G102" i="4"/>
  <c r="H102" i="4"/>
  <c r="J102" i="4"/>
  <c r="H184" i="4"/>
  <c r="D184" i="4"/>
  <c r="I184" i="4"/>
  <c r="C184" i="4"/>
  <c r="F184" i="4"/>
  <c r="J184" i="4"/>
  <c r="G184" i="4"/>
  <c r="B184" i="4"/>
  <c r="E184" i="4"/>
  <c r="H82" i="2"/>
  <c r="G82" i="2"/>
  <c r="I82" i="2"/>
  <c r="F82" i="2"/>
  <c r="E82" i="2"/>
  <c r="J82" i="2"/>
  <c r="D82" i="2"/>
  <c r="B82" i="2"/>
  <c r="C82" i="2"/>
  <c r="G22" i="2"/>
  <c r="D22" i="2"/>
  <c r="J22" i="2"/>
  <c r="H22" i="2"/>
  <c r="E22" i="2"/>
  <c r="F22" i="2"/>
  <c r="B22" i="2"/>
  <c r="I22" i="2"/>
  <c r="B59" i="2"/>
  <c r="C59" i="2"/>
  <c r="F59" i="2"/>
  <c r="H59" i="2"/>
  <c r="E59" i="2"/>
  <c r="I59" i="2"/>
  <c r="J59" i="2"/>
  <c r="G59" i="2"/>
  <c r="D59" i="2"/>
  <c r="F170" i="2"/>
  <c r="J170" i="2"/>
  <c r="D170" i="2"/>
  <c r="B170" i="2"/>
  <c r="G170" i="2"/>
  <c r="C170" i="2"/>
  <c r="H170" i="2"/>
  <c r="E170" i="2"/>
  <c r="I170" i="2"/>
  <c r="G9" i="3"/>
  <c r="F9" i="3"/>
  <c r="I9" i="3"/>
  <c r="B9" i="3"/>
  <c r="C9" i="3"/>
  <c r="H9" i="3"/>
  <c r="E9" i="3"/>
  <c r="D9" i="3"/>
  <c r="J9" i="3"/>
  <c r="I37" i="3"/>
  <c r="G37" i="3"/>
  <c r="H37" i="3"/>
  <c r="C37" i="3"/>
  <c r="B37" i="3"/>
  <c r="F37" i="3"/>
  <c r="J37" i="3"/>
  <c r="D37" i="3"/>
  <c r="E37" i="3"/>
  <c r="H36" i="3"/>
  <c r="J36" i="3"/>
  <c r="F36" i="3"/>
  <c r="G36" i="3"/>
  <c r="C36" i="3"/>
  <c r="I36" i="3"/>
  <c r="E36" i="3"/>
  <c r="B36" i="3"/>
  <c r="D36" i="3"/>
  <c r="J22" i="3"/>
  <c r="G22" i="3"/>
  <c r="D22" i="3"/>
  <c r="B22" i="3"/>
  <c r="F22" i="3"/>
  <c r="H22" i="3"/>
  <c r="C22" i="3"/>
  <c r="E22" i="3"/>
  <c r="I22" i="3"/>
  <c r="J79" i="3"/>
  <c r="C79" i="3"/>
  <c r="D79" i="3"/>
  <c r="I79" i="3"/>
  <c r="F79" i="3"/>
  <c r="H79" i="3"/>
  <c r="B79" i="3"/>
  <c r="G79" i="3"/>
  <c r="E79" i="3"/>
  <c r="E105" i="3"/>
  <c r="H105" i="3"/>
  <c r="D105" i="3"/>
  <c r="I105" i="3"/>
  <c r="C105" i="3"/>
  <c r="F105" i="3"/>
  <c r="G105" i="3"/>
  <c r="J105" i="3"/>
  <c r="B105" i="3"/>
  <c r="G132" i="3"/>
  <c r="D132" i="3"/>
  <c r="J132" i="3"/>
  <c r="C132" i="3"/>
  <c r="E132" i="3"/>
  <c r="I132" i="3"/>
  <c r="H132" i="3"/>
  <c r="B132" i="3"/>
  <c r="F132" i="3"/>
  <c r="H131" i="3"/>
  <c r="E131" i="3"/>
  <c r="G131" i="3"/>
  <c r="B131" i="3"/>
  <c r="C131" i="3"/>
  <c r="D131" i="3"/>
  <c r="J131" i="3"/>
  <c r="I131" i="3"/>
  <c r="F131" i="3"/>
  <c r="H19" i="4"/>
  <c r="F19" i="4"/>
  <c r="D19" i="4"/>
  <c r="E19" i="4"/>
  <c r="B19" i="4"/>
  <c r="G19" i="4"/>
  <c r="I19" i="4"/>
  <c r="J19" i="4"/>
  <c r="C19" i="4"/>
  <c r="E56" i="4"/>
  <c r="B56" i="4"/>
  <c r="J56" i="4"/>
  <c r="D56" i="4"/>
  <c r="H56" i="4"/>
  <c r="F56" i="4"/>
  <c r="G56" i="4"/>
  <c r="I56" i="4"/>
  <c r="C56" i="4"/>
  <c r="J57" i="4"/>
  <c r="H57" i="4"/>
  <c r="I57" i="4"/>
  <c r="F57" i="4"/>
  <c r="G57" i="4"/>
  <c r="D57" i="4"/>
  <c r="E57" i="4"/>
  <c r="C57" i="4"/>
  <c r="B57" i="4"/>
  <c r="F87" i="4"/>
  <c r="J87" i="4"/>
  <c r="B87" i="4"/>
  <c r="C87" i="4"/>
  <c r="D87" i="4"/>
  <c r="G87" i="4"/>
  <c r="H87" i="4"/>
  <c r="I87" i="4"/>
  <c r="E87" i="4"/>
  <c r="D142" i="4"/>
  <c r="I142" i="4"/>
  <c r="J142" i="4"/>
  <c r="H142" i="4"/>
  <c r="F142" i="4"/>
  <c r="B142" i="4"/>
  <c r="E142" i="4"/>
  <c r="G142" i="4"/>
  <c r="C142" i="4"/>
  <c r="F188" i="4"/>
  <c r="I188" i="4"/>
  <c r="H188" i="4"/>
  <c r="J188" i="4"/>
  <c r="C188" i="4"/>
  <c r="D188" i="4"/>
  <c r="G188" i="4"/>
  <c r="B188" i="4"/>
  <c r="E188" i="4"/>
  <c r="D87" i="2"/>
  <c r="F87" i="2"/>
  <c r="E87" i="2"/>
  <c r="G87" i="2"/>
  <c r="J87" i="2"/>
  <c r="B87" i="2"/>
  <c r="H87" i="2"/>
  <c r="C87" i="2"/>
  <c r="I87" i="2"/>
  <c r="D21" i="2"/>
  <c r="F21" i="2"/>
  <c r="C21" i="2"/>
  <c r="J21" i="2"/>
  <c r="B21" i="2"/>
  <c r="G21" i="2"/>
  <c r="E21" i="2"/>
  <c r="I21" i="2"/>
  <c r="H21" i="2"/>
  <c r="H23" i="2"/>
  <c r="D23" i="2"/>
  <c r="C23" i="2"/>
  <c r="J23" i="2"/>
  <c r="B23" i="2"/>
  <c r="G23" i="2"/>
  <c r="F23" i="2"/>
  <c r="I23" i="2"/>
  <c r="E23" i="2"/>
  <c r="E8" i="2"/>
  <c r="I8" i="2"/>
  <c r="B8" i="2"/>
  <c r="F8" i="2"/>
  <c r="J8" i="2"/>
  <c r="C8" i="2"/>
  <c r="G8" i="2"/>
  <c r="H8" i="2"/>
  <c r="D8" i="2"/>
  <c r="C28" i="2"/>
  <c r="F28" i="2"/>
  <c r="H28" i="2"/>
  <c r="B28" i="2"/>
  <c r="E28" i="2"/>
  <c r="J28" i="2"/>
  <c r="D28" i="2"/>
  <c r="I28" i="2"/>
  <c r="G28" i="2"/>
  <c r="F153" i="2"/>
  <c r="I153" i="2"/>
  <c r="C153" i="2"/>
  <c r="E153" i="2"/>
  <c r="H153" i="2"/>
  <c r="G153" i="2"/>
  <c r="J153" i="2"/>
  <c r="D153" i="2"/>
  <c r="B153" i="2"/>
  <c r="H128" i="2"/>
  <c r="F128" i="2"/>
  <c r="I128" i="2"/>
  <c r="B128" i="2"/>
  <c r="C128" i="2"/>
  <c r="G128" i="2"/>
  <c r="E128" i="2"/>
  <c r="D128" i="2"/>
  <c r="J128" i="2"/>
  <c r="I19" i="3"/>
  <c r="J19" i="3"/>
  <c r="H19" i="3"/>
  <c r="B19" i="3"/>
  <c r="E19" i="3"/>
  <c r="G19" i="3"/>
  <c r="D19" i="3"/>
  <c r="F19" i="3"/>
  <c r="C19" i="3"/>
  <c r="J64" i="3"/>
  <c r="H64" i="3"/>
  <c r="D64" i="3"/>
  <c r="G64" i="3"/>
  <c r="I64" i="3"/>
  <c r="B64" i="3"/>
  <c r="E64" i="3"/>
  <c r="C64" i="3"/>
  <c r="F64" i="3"/>
  <c r="B90" i="3"/>
  <c r="H90" i="3"/>
  <c r="J90" i="3"/>
  <c r="E90" i="3"/>
  <c r="G90" i="3"/>
  <c r="C90" i="3"/>
  <c r="I90" i="3"/>
  <c r="F90" i="3"/>
  <c r="D90" i="3"/>
  <c r="F200" i="3"/>
  <c r="I200" i="3"/>
  <c r="B200" i="3"/>
  <c r="D200" i="3"/>
  <c r="J200" i="3"/>
  <c r="G200" i="3"/>
  <c r="E200" i="3"/>
  <c r="H200" i="3"/>
  <c r="E39" i="4"/>
  <c r="G39" i="4"/>
  <c r="D39" i="4"/>
  <c r="I39" i="4"/>
  <c r="H39" i="4"/>
  <c r="B39" i="4"/>
  <c r="F39" i="4"/>
  <c r="J39" i="4"/>
  <c r="C39" i="4"/>
  <c r="C41" i="4"/>
  <c r="B41" i="4"/>
  <c r="I41" i="4"/>
  <c r="H41" i="4"/>
  <c r="D41" i="4"/>
  <c r="F41" i="4"/>
  <c r="G41" i="4"/>
  <c r="J41" i="4"/>
  <c r="E41" i="4"/>
  <c r="G42" i="4"/>
  <c r="C42" i="4"/>
  <c r="E42" i="4"/>
  <c r="F42" i="4"/>
  <c r="B42" i="4"/>
  <c r="J42" i="4"/>
  <c r="H42" i="4"/>
  <c r="D42" i="4"/>
  <c r="I42" i="4"/>
  <c r="J133" i="4"/>
  <c r="H133" i="4"/>
  <c r="C133" i="4"/>
  <c r="F133" i="4"/>
  <c r="D133" i="4"/>
  <c r="G133" i="4"/>
  <c r="E133" i="4"/>
  <c r="I133" i="4"/>
  <c r="B133" i="4"/>
  <c r="F139" i="4"/>
  <c r="H139" i="4"/>
  <c r="G139" i="4"/>
  <c r="J139" i="4"/>
  <c r="D139" i="4"/>
  <c r="I139" i="4"/>
  <c r="C139" i="4"/>
  <c r="B139" i="4"/>
  <c r="E139" i="4"/>
  <c r="G173" i="4"/>
  <c r="H173" i="4"/>
  <c r="J173" i="4"/>
  <c r="D173" i="4"/>
  <c r="I173" i="4"/>
  <c r="E173" i="4"/>
  <c r="F173" i="4"/>
  <c r="B173" i="4"/>
  <c r="C173" i="4"/>
  <c r="J181" i="3"/>
  <c r="E181" i="3"/>
  <c r="B181" i="3"/>
  <c r="F181" i="3"/>
  <c r="D181" i="3"/>
  <c r="G181" i="3"/>
  <c r="H181" i="3"/>
  <c r="I181" i="3"/>
  <c r="C181" i="3"/>
  <c r="H146" i="4"/>
  <c r="J146" i="4"/>
  <c r="G146" i="4"/>
  <c r="C146" i="4"/>
  <c r="B146" i="4"/>
  <c r="F146" i="4"/>
  <c r="D146" i="4"/>
  <c r="I146" i="4"/>
  <c r="E146" i="4"/>
  <c r="C20" i="3"/>
  <c r="G20" i="3"/>
  <c r="H20" i="3"/>
  <c r="B20" i="3"/>
  <c r="F20" i="3"/>
  <c r="I20" i="3"/>
  <c r="E20" i="3"/>
  <c r="D20" i="3"/>
  <c r="J20" i="3"/>
  <c r="I98" i="3"/>
  <c r="D98" i="3"/>
  <c r="C98" i="3"/>
  <c r="B98" i="3"/>
  <c r="F98" i="3"/>
  <c r="E98" i="3"/>
  <c r="G98" i="3"/>
  <c r="H98" i="3"/>
  <c r="J98" i="3"/>
  <c r="I185" i="3"/>
  <c r="C185" i="3"/>
  <c r="F185" i="3"/>
  <c r="B185" i="3"/>
  <c r="E185" i="3"/>
  <c r="G185" i="3"/>
  <c r="D185" i="3"/>
  <c r="H185" i="3"/>
  <c r="J185" i="3"/>
  <c r="I143" i="2"/>
  <c r="D143" i="2"/>
  <c r="C143" i="2"/>
  <c r="G143" i="2"/>
  <c r="F143" i="2"/>
  <c r="E143" i="2"/>
  <c r="H143" i="2"/>
  <c r="J143" i="2"/>
  <c r="B143" i="2"/>
  <c r="I8" i="3"/>
  <c r="E8" i="3"/>
  <c r="F8" i="3"/>
  <c r="G8" i="3"/>
  <c r="C8" i="3"/>
  <c r="J8" i="3"/>
  <c r="H8" i="3"/>
  <c r="B8" i="3"/>
  <c r="D8" i="3"/>
  <c r="J3" i="4"/>
  <c r="F3" i="4"/>
  <c r="E3" i="4"/>
  <c r="H3" i="4"/>
  <c r="D3" i="4"/>
  <c r="B3" i="4"/>
  <c r="G3" i="4"/>
  <c r="I3" i="4"/>
  <c r="G194" i="2"/>
  <c r="B194" i="2"/>
  <c r="D194" i="2"/>
  <c r="H194" i="2"/>
  <c r="E194" i="2"/>
  <c r="I194" i="2"/>
  <c r="F194" i="2"/>
  <c r="J194" i="2"/>
  <c r="C194" i="2"/>
  <c r="I199" i="2"/>
  <c r="J199" i="2"/>
  <c r="H199" i="2"/>
  <c r="C199" i="2"/>
  <c r="G199" i="2"/>
  <c r="F199" i="2"/>
  <c r="D199" i="2"/>
  <c r="E199" i="2"/>
  <c r="B199" i="2"/>
  <c r="E172" i="3"/>
  <c r="H172" i="3"/>
  <c r="F172" i="3"/>
  <c r="J172" i="3"/>
  <c r="B172" i="3"/>
  <c r="C172" i="3"/>
  <c r="I172" i="3"/>
  <c r="G172" i="3"/>
  <c r="D172" i="3"/>
  <c r="H195" i="4"/>
  <c r="E195" i="4"/>
  <c r="D195" i="4"/>
  <c r="F195" i="4"/>
  <c r="I195" i="4"/>
  <c r="J195" i="4"/>
  <c r="B195" i="4"/>
  <c r="G195" i="4"/>
  <c r="I83" i="2"/>
  <c r="F83" i="2"/>
  <c r="E83" i="2"/>
  <c r="G83" i="2"/>
  <c r="J83" i="2"/>
  <c r="B83" i="2"/>
  <c r="H83" i="2"/>
  <c r="D83" i="2"/>
  <c r="D181" i="4"/>
  <c r="F181" i="4"/>
  <c r="J181" i="4"/>
  <c r="B181" i="4"/>
  <c r="E181" i="4"/>
  <c r="I181" i="4"/>
  <c r="C181" i="4"/>
  <c r="H181" i="4"/>
  <c r="G181" i="4"/>
  <c r="C109" i="2"/>
  <c r="E109" i="2"/>
  <c r="B109" i="2"/>
  <c r="D109" i="2"/>
  <c r="G109" i="2"/>
  <c r="F109" i="2"/>
  <c r="I109" i="2"/>
  <c r="J109" i="2"/>
  <c r="H109" i="2"/>
  <c r="G36" i="2"/>
  <c r="F36" i="2"/>
  <c r="E36" i="2"/>
  <c r="J36" i="2"/>
  <c r="C36" i="2"/>
  <c r="I36" i="2"/>
  <c r="B36" i="2"/>
  <c r="H36" i="2"/>
  <c r="D36" i="2"/>
  <c r="H95" i="2"/>
  <c r="F95" i="2"/>
  <c r="I95" i="2"/>
  <c r="B95" i="2"/>
  <c r="E95" i="2"/>
  <c r="G95" i="2"/>
  <c r="D95" i="2"/>
  <c r="J95" i="2"/>
  <c r="H133" i="2"/>
  <c r="F133" i="2"/>
  <c r="J133" i="2"/>
  <c r="B133" i="2"/>
  <c r="D133" i="2"/>
  <c r="E133" i="2"/>
  <c r="G133" i="2"/>
  <c r="I133" i="2"/>
  <c r="C133" i="2"/>
  <c r="I155" i="2"/>
  <c r="D155" i="2"/>
  <c r="C155" i="2"/>
  <c r="G155" i="2"/>
  <c r="F155" i="2"/>
  <c r="E155" i="2"/>
  <c r="B155" i="2"/>
  <c r="J155" i="2"/>
  <c r="H155" i="2"/>
  <c r="G157" i="2"/>
  <c r="I157" i="2"/>
  <c r="B157" i="2"/>
  <c r="C157" i="2"/>
  <c r="F157" i="2"/>
  <c r="H157" i="2"/>
  <c r="D157" i="2"/>
  <c r="E157" i="2"/>
  <c r="J157" i="2"/>
  <c r="B14" i="3"/>
  <c r="F14" i="3"/>
  <c r="J14" i="3"/>
  <c r="H14" i="3"/>
  <c r="G14" i="3"/>
  <c r="C14" i="3"/>
  <c r="D14" i="3"/>
  <c r="E14" i="3"/>
  <c r="I14" i="3"/>
  <c r="I123" i="3"/>
  <c r="B123" i="3"/>
  <c r="D123" i="3"/>
  <c r="J123" i="3"/>
  <c r="G123" i="3"/>
  <c r="C123" i="3"/>
  <c r="E123" i="3"/>
  <c r="H123" i="3"/>
  <c r="F123" i="3"/>
  <c r="J157" i="3"/>
  <c r="E157" i="3"/>
  <c r="F157" i="3"/>
  <c r="H157" i="3"/>
  <c r="D157" i="3"/>
  <c r="C157" i="3"/>
  <c r="B157" i="3"/>
  <c r="I157" i="3"/>
  <c r="G157" i="3"/>
  <c r="J177" i="3"/>
  <c r="H177" i="3"/>
  <c r="I177" i="3"/>
  <c r="D177" i="3"/>
  <c r="G177" i="3"/>
  <c r="C177" i="3"/>
  <c r="E177" i="3"/>
  <c r="F177" i="3"/>
  <c r="B177" i="3"/>
  <c r="E176" i="3"/>
  <c r="D176" i="3"/>
  <c r="J176" i="3"/>
  <c r="B176" i="3"/>
  <c r="I176" i="3"/>
  <c r="C176" i="3"/>
  <c r="G176" i="3"/>
  <c r="H176" i="3"/>
  <c r="F176" i="3"/>
  <c r="G23" i="4"/>
  <c r="C23" i="4"/>
  <c r="I23" i="4"/>
  <c r="D23" i="4"/>
  <c r="F23" i="4"/>
  <c r="J23" i="4"/>
  <c r="H23" i="4"/>
  <c r="E23" i="4"/>
  <c r="B23" i="4"/>
  <c r="J49" i="4"/>
  <c r="C49" i="4"/>
  <c r="D49" i="4"/>
  <c r="G49" i="4"/>
  <c r="E49" i="4"/>
  <c r="F49" i="4"/>
  <c r="H49" i="4"/>
  <c r="I49" i="4"/>
  <c r="B49" i="4"/>
  <c r="F159" i="4"/>
  <c r="D159" i="4"/>
  <c r="B159" i="4"/>
  <c r="I159" i="4"/>
  <c r="G159" i="4"/>
  <c r="H159" i="4"/>
  <c r="E159" i="4"/>
  <c r="J159" i="4"/>
  <c r="C159" i="4"/>
  <c r="B135" i="4"/>
  <c r="F135" i="4"/>
  <c r="I135" i="4"/>
  <c r="E135" i="4"/>
  <c r="J135" i="4"/>
  <c r="C135" i="4"/>
  <c r="H135" i="4"/>
  <c r="D135" i="4"/>
  <c r="G135" i="4"/>
  <c r="B175" i="4"/>
  <c r="D175" i="4"/>
  <c r="E175" i="4"/>
  <c r="H175" i="4"/>
  <c r="F175" i="4"/>
  <c r="I175" i="4"/>
  <c r="G175" i="4"/>
  <c r="J175" i="4"/>
  <c r="C175" i="4"/>
  <c r="I29" i="2"/>
  <c r="G29" i="2"/>
  <c r="H29" i="2"/>
  <c r="D29" i="2"/>
  <c r="C29" i="2"/>
  <c r="J29" i="2"/>
  <c r="B29" i="2"/>
  <c r="E29" i="2"/>
  <c r="F29" i="2"/>
  <c r="B84" i="2"/>
  <c r="D84" i="2"/>
  <c r="E84" i="2"/>
  <c r="G84" i="2"/>
  <c r="J84" i="2"/>
  <c r="C84" i="2"/>
  <c r="H84" i="2"/>
  <c r="I84" i="2"/>
  <c r="F84" i="2"/>
  <c r="H81" i="2"/>
  <c r="G81" i="2"/>
  <c r="D81" i="2"/>
  <c r="I81" i="2"/>
  <c r="F81" i="2"/>
  <c r="E81" i="2"/>
  <c r="J81" i="2"/>
  <c r="B81" i="2"/>
  <c r="G74" i="2"/>
  <c r="F74" i="2"/>
  <c r="C74" i="2"/>
  <c r="H74" i="2"/>
  <c r="E74" i="2"/>
  <c r="J74" i="2"/>
  <c r="D74" i="2"/>
  <c r="I74" i="2"/>
  <c r="B74" i="2"/>
  <c r="D115" i="2"/>
  <c r="C115" i="2"/>
  <c r="I115" i="2"/>
  <c r="G115" i="2"/>
  <c r="F115" i="2"/>
  <c r="E115" i="2"/>
  <c r="B115" i="2"/>
  <c r="H115" i="2"/>
  <c r="J115" i="2"/>
  <c r="D40" i="3"/>
  <c r="J40" i="3"/>
  <c r="G40" i="3"/>
  <c r="H40" i="3"/>
  <c r="B40" i="3"/>
  <c r="C40" i="3"/>
  <c r="F40" i="3"/>
  <c r="E40" i="3"/>
  <c r="I40" i="3"/>
  <c r="F178" i="2"/>
  <c r="G178" i="2"/>
  <c r="E178" i="2"/>
  <c r="D178" i="2"/>
  <c r="J178" i="2"/>
  <c r="I178" i="2"/>
  <c r="H178" i="2"/>
  <c r="C178" i="2"/>
  <c r="B178" i="2"/>
  <c r="B21" i="4"/>
  <c r="E21" i="4"/>
  <c r="J21" i="4"/>
  <c r="G21" i="4"/>
  <c r="C21" i="4"/>
  <c r="F21" i="4"/>
  <c r="D21" i="4"/>
  <c r="I21" i="4"/>
  <c r="H21" i="4"/>
  <c r="H23" i="3"/>
  <c r="I23" i="3"/>
  <c r="C23" i="3"/>
  <c r="J23" i="3"/>
  <c r="G23" i="3"/>
  <c r="D23" i="3"/>
  <c r="B23" i="3"/>
  <c r="F23" i="3"/>
  <c r="E23" i="3"/>
  <c r="B110" i="3"/>
  <c r="F110" i="3"/>
  <c r="E110" i="3"/>
  <c r="G110" i="3"/>
  <c r="H110" i="3"/>
  <c r="J110" i="3"/>
  <c r="I110" i="3"/>
  <c r="D110" i="3"/>
  <c r="C110" i="3"/>
  <c r="D63" i="3"/>
  <c r="I63" i="3"/>
  <c r="E63" i="3"/>
  <c r="J63" i="3"/>
  <c r="C63" i="3"/>
  <c r="H63" i="3"/>
  <c r="B63" i="3"/>
  <c r="F63" i="3"/>
  <c r="G63" i="3"/>
  <c r="G178" i="3"/>
  <c r="H178" i="3"/>
  <c r="E178" i="3"/>
  <c r="D178" i="3"/>
  <c r="F178" i="3"/>
  <c r="J178" i="3"/>
  <c r="B178" i="3"/>
  <c r="C178" i="3"/>
  <c r="I178" i="3"/>
  <c r="E8" i="4"/>
  <c r="C8" i="4"/>
  <c r="J8" i="4"/>
  <c r="H8" i="4"/>
  <c r="B8" i="4"/>
  <c r="D8" i="4"/>
  <c r="F8" i="4"/>
  <c r="G8" i="4"/>
  <c r="I8" i="4"/>
  <c r="E9" i="4"/>
  <c r="H9" i="4"/>
  <c r="J9" i="4"/>
  <c r="D9" i="4"/>
  <c r="B9" i="4"/>
  <c r="F9" i="4"/>
  <c r="G9" i="4"/>
  <c r="I9" i="4"/>
  <c r="C9" i="4"/>
  <c r="G17" i="4"/>
  <c r="D17" i="4"/>
  <c r="F17" i="4"/>
  <c r="E17" i="4"/>
  <c r="B17" i="4"/>
  <c r="H17" i="4"/>
  <c r="I17" i="4"/>
  <c r="C17" i="4"/>
  <c r="J17" i="4"/>
  <c r="J70" i="4"/>
  <c r="I70" i="4"/>
  <c r="G70" i="4"/>
  <c r="C70" i="4"/>
  <c r="E70" i="4"/>
  <c r="D70" i="4"/>
  <c r="H70" i="4"/>
  <c r="B70" i="4"/>
  <c r="F70" i="4"/>
  <c r="D103" i="4"/>
  <c r="B103" i="4"/>
  <c r="E103" i="4"/>
  <c r="G103" i="4"/>
  <c r="H103" i="4"/>
  <c r="J103" i="4"/>
  <c r="F103" i="4"/>
  <c r="I103" i="4"/>
  <c r="C103" i="4"/>
  <c r="E141" i="4"/>
  <c r="H141" i="4"/>
  <c r="D141" i="4"/>
  <c r="G141" i="4"/>
  <c r="C141" i="4"/>
  <c r="I141" i="4"/>
  <c r="J141" i="4"/>
  <c r="B141" i="4"/>
  <c r="F141" i="4"/>
  <c r="B170" i="4"/>
  <c r="D170" i="4"/>
  <c r="I170" i="4"/>
  <c r="J170" i="4"/>
  <c r="H170" i="4"/>
  <c r="C170" i="4"/>
  <c r="F170" i="4"/>
  <c r="E170" i="4"/>
  <c r="G170" i="4"/>
  <c r="I114" i="2"/>
  <c r="H114" i="2"/>
  <c r="C114" i="2"/>
  <c r="B114" i="2"/>
  <c r="D114" i="2"/>
  <c r="J114" i="2"/>
  <c r="G114" i="2"/>
  <c r="E114" i="2"/>
  <c r="F114" i="2"/>
  <c r="E145" i="2"/>
  <c r="J145" i="2"/>
  <c r="G145" i="2"/>
  <c r="I145" i="2"/>
  <c r="B145" i="2"/>
  <c r="C145" i="2"/>
  <c r="F145" i="2"/>
  <c r="H145" i="2"/>
  <c r="D145" i="2"/>
  <c r="H3" i="3"/>
  <c r="D3" i="3"/>
  <c r="E3" i="3"/>
  <c r="F3" i="3"/>
  <c r="J3" i="3"/>
  <c r="G3" i="3"/>
  <c r="B3" i="3"/>
  <c r="I3" i="3"/>
  <c r="H190" i="2"/>
  <c r="F190" i="2"/>
  <c r="C190" i="2"/>
  <c r="I190" i="2"/>
  <c r="B190" i="2"/>
  <c r="E190" i="2"/>
  <c r="J190" i="2"/>
  <c r="G190" i="2"/>
  <c r="D190" i="2"/>
  <c r="F86" i="3"/>
  <c r="D86" i="3"/>
  <c r="H86" i="3"/>
  <c r="C86" i="3"/>
  <c r="E86" i="3"/>
  <c r="I86" i="3"/>
  <c r="B86" i="3"/>
  <c r="J86" i="3"/>
  <c r="G86" i="3"/>
  <c r="C112" i="3"/>
  <c r="I112" i="3"/>
  <c r="D112" i="3"/>
  <c r="J112" i="3"/>
  <c r="H112" i="3"/>
  <c r="E112" i="3"/>
  <c r="F112" i="3"/>
  <c r="B112" i="3"/>
  <c r="G112" i="3"/>
  <c r="J145" i="3"/>
  <c r="E145" i="3"/>
  <c r="B145" i="3"/>
  <c r="F145" i="3"/>
  <c r="D145" i="3"/>
  <c r="G145" i="3"/>
  <c r="H145" i="3"/>
  <c r="I145" i="3"/>
  <c r="C145" i="3"/>
  <c r="F165" i="3"/>
  <c r="G165" i="3"/>
  <c r="C165" i="3"/>
  <c r="E165" i="3"/>
  <c r="J165" i="3"/>
  <c r="H165" i="3"/>
  <c r="D165" i="3"/>
  <c r="B165" i="3"/>
  <c r="I165" i="3"/>
  <c r="I164" i="3"/>
  <c r="C164" i="3"/>
  <c r="G164" i="3"/>
  <c r="H164" i="3"/>
  <c r="F164" i="3"/>
  <c r="E164" i="3"/>
  <c r="B164" i="3"/>
  <c r="D164" i="3"/>
  <c r="J164" i="3"/>
  <c r="F12" i="4"/>
  <c r="J12" i="4"/>
  <c r="H12" i="4"/>
  <c r="E12" i="4"/>
  <c r="B12" i="4"/>
  <c r="G12" i="4"/>
  <c r="C12" i="4"/>
  <c r="I12" i="4"/>
  <c r="D12" i="4"/>
  <c r="B104" i="4"/>
  <c r="C104" i="4"/>
  <c r="F104" i="4"/>
  <c r="H104" i="4"/>
  <c r="D104" i="4"/>
  <c r="E104" i="4"/>
  <c r="I104" i="4"/>
  <c r="G104" i="4"/>
  <c r="J104" i="4"/>
  <c r="C110" i="4"/>
  <c r="G110" i="4"/>
  <c r="E110" i="4"/>
  <c r="I110" i="4"/>
  <c r="D110" i="4"/>
  <c r="F110" i="4"/>
  <c r="H110" i="4"/>
  <c r="B110" i="4"/>
  <c r="J110" i="4"/>
  <c r="D137" i="4"/>
  <c r="F137" i="4"/>
  <c r="H137" i="4"/>
  <c r="E137" i="4"/>
  <c r="J137" i="4"/>
  <c r="B137" i="4"/>
  <c r="C137" i="4"/>
  <c r="I137" i="4"/>
  <c r="G137" i="4"/>
  <c r="J174" i="4"/>
  <c r="H174" i="4"/>
  <c r="G174" i="4"/>
  <c r="E174" i="4"/>
  <c r="B174" i="4"/>
  <c r="C174" i="4"/>
  <c r="F174" i="4"/>
  <c r="D174" i="4"/>
  <c r="I174" i="4"/>
  <c r="F86" i="2"/>
  <c r="E86" i="2"/>
  <c r="J86" i="2"/>
  <c r="D86" i="2"/>
  <c r="H86" i="2"/>
  <c r="B86" i="2"/>
  <c r="G86" i="2"/>
  <c r="I86" i="2"/>
  <c r="J79" i="2"/>
  <c r="C79" i="2"/>
  <c r="G79" i="2"/>
  <c r="H79" i="2"/>
  <c r="E79" i="2"/>
  <c r="B79" i="2"/>
  <c r="D79" i="2"/>
  <c r="I79" i="2"/>
  <c r="F79" i="2"/>
  <c r="I117" i="2"/>
  <c r="D117" i="2"/>
  <c r="F117" i="2"/>
  <c r="H117" i="2"/>
  <c r="B117" i="2"/>
  <c r="C117" i="2"/>
  <c r="G117" i="2"/>
  <c r="J117" i="2"/>
  <c r="E117" i="2"/>
  <c r="H122" i="2"/>
  <c r="G122" i="2"/>
  <c r="E122" i="2"/>
  <c r="F122" i="2"/>
  <c r="D122" i="2"/>
  <c r="J122" i="2"/>
  <c r="I122" i="2"/>
  <c r="B122" i="2"/>
  <c r="C122" i="2"/>
  <c r="F183" i="2"/>
  <c r="J183" i="2"/>
  <c r="C183" i="2"/>
  <c r="G183" i="2"/>
  <c r="B183" i="2"/>
  <c r="D183" i="2"/>
  <c r="H183" i="2"/>
  <c r="E183" i="2"/>
  <c r="I183" i="2"/>
  <c r="D89" i="3"/>
  <c r="I89" i="3"/>
  <c r="H89" i="3"/>
  <c r="C89" i="3"/>
  <c r="J89" i="3"/>
  <c r="F89" i="3"/>
  <c r="B89" i="3"/>
  <c r="E89" i="3"/>
  <c r="G89" i="3"/>
  <c r="G47" i="3"/>
  <c r="H47" i="3"/>
  <c r="F47" i="3"/>
  <c r="C47" i="3"/>
  <c r="I47" i="3"/>
  <c r="J47" i="3"/>
  <c r="E47" i="3"/>
  <c r="B47" i="3"/>
  <c r="D47" i="3"/>
  <c r="D97" i="3"/>
  <c r="G97" i="3"/>
  <c r="B97" i="3"/>
  <c r="E97" i="3"/>
  <c r="H97" i="3"/>
  <c r="I97" i="3"/>
  <c r="F97" i="3"/>
  <c r="J97" i="3"/>
  <c r="C97" i="3"/>
  <c r="H150" i="3"/>
  <c r="J150" i="3"/>
  <c r="I150" i="3"/>
  <c r="G150" i="3"/>
  <c r="F150" i="3"/>
  <c r="C150" i="3"/>
  <c r="B150" i="3"/>
  <c r="D150" i="3"/>
  <c r="E150" i="3"/>
  <c r="I149" i="3"/>
  <c r="C149" i="3"/>
  <c r="F149" i="3"/>
  <c r="B149" i="3"/>
  <c r="E149" i="3"/>
  <c r="G149" i="3"/>
  <c r="D149" i="3"/>
  <c r="H149" i="3"/>
  <c r="J149" i="3"/>
  <c r="B38" i="4"/>
  <c r="G38" i="4"/>
  <c r="C38" i="4"/>
  <c r="E38" i="4"/>
  <c r="H38" i="4"/>
  <c r="I38" i="4"/>
  <c r="F38" i="4"/>
  <c r="J38" i="4"/>
  <c r="D38" i="4"/>
  <c r="F73" i="4"/>
  <c r="H73" i="4"/>
  <c r="G73" i="4"/>
  <c r="J73" i="4"/>
  <c r="E73" i="4"/>
  <c r="C73" i="4"/>
  <c r="D73" i="4"/>
  <c r="B73" i="4"/>
  <c r="I73" i="4"/>
  <c r="F80" i="4"/>
  <c r="I80" i="4"/>
  <c r="D80" i="4"/>
  <c r="E80" i="4"/>
  <c r="J80" i="4"/>
  <c r="C80" i="4"/>
  <c r="B80" i="4"/>
  <c r="H80" i="4"/>
  <c r="G80" i="4"/>
  <c r="G105" i="4"/>
  <c r="D105" i="4"/>
  <c r="I105" i="4"/>
  <c r="H105" i="4"/>
  <c r="F105" i="4"/>
  <c r="E105" i="4"/>
  <c r="J105" i="4"/>
  <c r="B105" i="4"/>
  <c r="C105" i="4"/>
  <c r="E199" i="4"/>
  <c r="G199" i="4"/>
  <c r="F199" i="4"/>
  <c r="D199" i="4"/>
  <c r="I199" i="4"/>
  <c r="J199" i="4"/>
  <c r="B199" i="4"/>
  <c r="H199" i="4"/>
  <c r="J54" i="2"/>
  <c r="B54" i="2"/>
  <c r="E54" i="2"/>
  <c r="I54" i="2"/>
  <c r="G54" i="2"/>
  <c r="C54" i="2"/>
  <c r="D54" i="2"/>
  <c r="F54" i="2"/>
  <c r="H54" i="2"/>
  <c r="C32" i="2"/>
  <c r="B32" i="2"/>
  <c r="E32" i="2"/>
  <c r="D32" i="2"/>
  <c r="J32" i="2"/>
  <c r="I32" i="2"/>
  <c r="G32" i="2"/>
  <c r="H32" i="2"/>
  <c r="F32" i="2"/>
  <c r="J64" i="2"/>
  <c r="D64" i="2"/>
  <c r="C64" i="2"/>
  <c r="F64" i="2"/>
  <c r="I64" i="2"/>
  <c r="H64" i="2"/>
  <c r="E64" i="2"/>
  <c r="G64" i="2"/>
  <c r="B64" i="2"/>
  <c r="G20" i="2"/>
  <c r="H20" i="2"/>
  <c r="B20" i="2"/>
  <c r="I20" i="2"/>
  <c r="F20" i="2"/>
  <c r="C20" i="2"/>
  <c r="E20" i="2"/>
  <c r="D20" i="2"/>
  <c r="J20" i="2"/>
  <c r="D48" i="2"/>
  <c r="F48" i="2"/>
  <c r="E48" i="2"/>
  <c r="G48" i="2"/>
  <c r="I48" i="2"/>
  <c r="H48" i="2"/>
  <c r="J48" i="2"/>
  <c r="B48" i="2"/>
  <c r="C48" i="2"/>
  <c r="D24" i="2"/>
  <c r="I24" i="2"/>
  <c r="G24" i="2"/>
  <c r="B24" i="2"/>
  <c r="J24" i="2"/>
  <c r="H24" i="2"/>
  <c r="F24" i="2"/>
  <c r="E24" i="2"/>
  <c r="C24" i="2"/>
  <c r="H62" i="2"/>
  <c r="F62" i="2"/>
  <c r="J62" i="2"/>
  <c r="I62" i="2"/>
  <c r="D62" i="2"/>
  <c r="C62" i="2"/>
  <c r="E62" i="2"/>
  <c r="B62" i="2"/>
  <c r="G62" i="2"/>
  <c r="D189" i="2"/>
  <c r="F189" i="2"/>
  <c r="J189" i="2"/>
  <c r="B189" i="2"/>
  <c r="I189" i="2"/>
  <c r="G189" i="2"/>
  <c r="H189" i="2"/>
  <c r="E189" i="2"/>
  <c r="G65" i="3"/>
  <c r="F65" i="3"/>
  <c r="I65" i="3"/>
  <c r="E65" i="3"/>
  <c r="C65" i="3"/>
  <c r="H65" i="3"/>
  <c r="J65" i="3"/>
  <c r="D65" i="3"/>
  <c r="B65" i="3"/>
  <c r="F45" i="3"/>
  <c r="E45" i="3"/>
  <c r="H45" i="3"/>
  <c r="G45" i="3"/>
  <c r="D45" i="3"/>
  <c r="B45" i="3"/>
  <c r="J45" i="3"/>
  <c r="C45" i="3"/>
  <c r="I45" i="3"/>
  <c r="J41" i="3"/>
  <c r="I41" i="3"/>
  <c r="G41" i="3"/>
  <c r="H41" i="3"/>
  <c r="D41" i="3"/>
  <c r="B41" i="3"/>
  <c r="E41" i="3"/>
  <c r="C41" i="3"/>
  <c r="F41" i="3"/>
  <c r="F82" i="3"/>
  <c r="B82" i="3"/>
  <c r="G82" i="3"/>
  <c r="C82" i="3"/>
  <c r="I82" i="3"/>
  <c r="E82" i="3"/>
  <c r="D82" i="3"/>
  <c r="H82" i="3"/>
  <c r="J82" i="3"/>
  <c r="B108" i="3"/>
  <c r="F108" i="3"/>
  <c r="J108" i="3"/>
  <c r="C108" i="3"/>
  <c r="I108" i="3"/>
  <c r="H108" i="3"/>
  <c r="D108" i="3"/>
  <c r="G108" i="3"/>
  <c r="E108" i="3"/>
  <c r="I135" i="3"/>
  <c r="J135" i="3"/>
  <c r="C135" i="3"/>
  <c r="H135" i="3"/>
  <c r="D135" i="3"/>
  <c r="F135" i="3"/>
  <c r="B135" i="3"/>
  <c r="E135" i="3"/>
  <c r="G135" i="3"/>
  <c r="D134" i="3"/>
  <c r="C134" i="3"/>
  <c r="G134" i="3"/>
  <c r="I134" i="3"/>
  <c r="F134" i="3"/>
  <c r="E134" i="3"/>
  <c r="H134" i="3"/>
  <c r="J134" i="3"/>
  <c r="B134" i="3"/>
  <c r="J59" i="4"/>
  <c r="G59" i="4"/>
  <c r="D59" i="4"/>
  <c r="E59" i="4"/>
  <c r="F59" i="4"/>
  <c r="H59" i="4"/>
  <c r="B59" i="4"/>
  <c r="I59" i="4"/>
  <c r="C59" i="4"/>
  <c r="B60" i="4"/>
  <c r="C60" i="4"/>
  <c r="H60" i="4"/>
  <c r="E60" i="4"/>
  <c r="G60" i="4"/>
  <c r="I60" i="4"/>
  <c r="D60" i="4"/>
  <c r="J60" i="4"/>
  <c r="F60" i="4"/>
  <c r="J90" i="4"/>
  <c r="G90" i="4"/>
  <c r="H90" i="4"/>
  <c r="I90" i="4"/>
  <c r="B90" i="4"/>
  <c r="D90" i="4"/>
  <c r="F90" i="4"/>
  <c r="C90" i="4"/>
  <c r="E90" i="4"/>
  <c r="G147" i="4"/>
  <c r="B147" i="4"/>
  <c r="C147" i="4"/>
  <c r="E147" i="4"/>
  <c r="F147" i="4"/>
  <c r="H147" i="4"/>
  <c r="I147" i="4"/>
  <c r="J147" i="4"/>
  <c r="D147" i="4"/>
  <c r="J196" i="4"/>
  <c r="I196" i="4"/>
  <c r="F196" i="4"/>
  <c r="E196" i="4"/>
  <c r="D196" i="4"/>
  <c r="H196" i="4"/>
  <c r="B196" i="4"/>
  <c r="G196" i="4"/>
  <c r="J164" i="2"/>
  <c r="I164" i="2"/>
  <c r="B164" i="2"/>
  <c r="D164" i="2"/>
  <c r="H164" i="2"/>
  <c r="G164" i="2"/>
  <c r="F164" i="2"/>
  <c r="E164" i="2"/>
  <c r="G122" i="3"/>
  <c r="I122" i="3"/>
  <c r="B122" i="3"/>
  <c r="J122" i="3"/>
  <c r="F122" i="3"/>
  <c r="D122" i="3"/>
  <c r="E122" i="3"/>
  <c r="C122" i="3"/>
  <c r="H122" i="3"/>
  <c r="H104" i="3"/>
  <c r="I104" i="3"/>
  <c r="C104" i="3"/>
  <c r="J104" i="3"/>
  <c r="G104" i="3"/>
  <c r="F104" i="3"/>
  <c r="E104" i="3"/>
  <c r="D104" i="3"/>
  <c r="B104" i="3"/>
  <c r="H131" i="2"/>
  <c r="G131" i="2"/>
  <c r="B131" i="2"/>
  <c r="E131" i="2"/>
  <c r="C131" i="2"/>
  <c r="F131" i="2"/>
  <c r="I131" i="2"/>
  <c r="J131" i="2"/>
  <c r="D131" i="2"/>
  <c r="F144" i="4"/>
  <c r="E144" i="4"/>
  <c r="G144" i="4"/>
  <c r="D144" i="4"/>
  <c r="J144" i="4"/>
  <c r="C144" i="4"/>
  <c r="B144" i="4"/>
  <c r="I144" i="4"/>
  <c r="H144" i="4"/>
  <c r="G26" i="2"/>
  <c r="D26" i="2"/>
  <c r="F26" i="2"/>
  <c r="B26" i="2"/>
  <c r="J26" i="2"/>
  <c r="I26" i="2"/>
  <c r="E26" i="2"/>
  <c r="C26" i="2"/>
  <c r="H26" i="2"/>
  <c r="G155" i="3"/>
  <c r="D155" i="3"/>
  <c r="H155" i="3"/>
  <c r="B155" i="3"/>
  <c r="I155" i="3"/>
  <c r="C155" i="3"/>
  <c r="F155" i="3"/>
  <c r="J155" i="3"/>
  <c r="E155" i="3"/>
  <c r="C19" i="2"/>
  <c r="I19" i="2"/>
  <c r="B19" i="2"/>
  <c r="D19" i="2"/>
  <c r="E19" i="2"/>
  <c r="F19" i="2"/>
  <c r="J19" i="2"/>
  <c r="H19" i="2"/>
  <c r="G19" i="2"/>
  <c r="C65" i="2"/>
  <c r="F65" i="2"/>
  <c r="D65" i="2"/>
  <c r="E65" i="2"/>
  <c r="G65" i="2"/>
  <c r="J65" i="2"/>
  <c r="H65" i="2"/>
  <c r="I65" i="2"/>
  <c r="B65" i="2"/>
  <c r="G25" i="2"/>
  <c r="E25" i="2"/>
  <c r="D25" i="2"/>
  <c r="F25" i="2"/>
  <c r="C25" i="2"/>
  <c r="H25" i="2"/>
  <c r="I25" i="2"/>
  <c r="J25" i="2"/>
  <c r="B25" i="2"/>
  <c r="F75" i="2"/>
  <c r="D75" i="2"/>
  <c r="I75" i="2"/>
  <c r="H75" i="2"/>
  <c r="B75" i="2"/>
  <c r="J75" i="2"/>
  <c r="G75" i="2"/>
  <c r="E75" i="2"/>
  <c r="I10" i="2"/>
  <c r="F10" i="2"/>
  <c r="B10" i="2"/>
  <c r="C10" i="2"/>
  <c r="J10" i="2"/>
  <c r="E10" i="2"/>
  <c r="H10" i="2"/>
  <c r="D10" i="2"/>
  <c r="G10" i="2"/>
  <c r="G16" i="3"/>
  <c r="D16" i="3"/>
  <c r="B16" i="3"/>
  <c r="H16" i="3"/>
  <c r="E16" i="3"/>
  <c r="I16" i="3"/>
  <c r="J16" i="3"/>
  <c r="F16" i="3"/>
  <c r="C16" i="3"/>
  <c r="H7" i="4"/>
  <c r="F7" i="4"/>
  <c r="J7" i="4"/>
  <c r="D7" i="4"/>
  <c r="B7" i="4"/>
  <c r="E7" i="4"/>
  <c r="I7" i="4"/>
  <c r="G7" i="4"/>
  <c r="C7" i="4"/>
  <c r="I72" i="2"/>
  <c r="F72" i="2"/>
  <c r="B72" i="2"/>
  <c r="E72" i="2"/>
  <c r="H72" i="2"/>
  <c r="D72" i="2"/>
  <c r="G72" i="2"/>
  <c r="J72" i="2"/>
  <c r="J176" i="2"/>
  <c r="G176" i="2"/>
  <c r="F176" i="2"/>
  <c r="C176" i="2"/>
  <c r="E176" i="2"/>
  <c r="D176" i="2"/>
  <c r="I176" i="2"/>
  <c r="B176" i="2"/>
  <c r="H176" i="2"/>
  <c r="J105" i="2"/>
  <c r="G105" i="2"/>
  <c r="E105" i="2"/>
  <c r="F105" i="2"/>
  <c r="D105" i="2"/>
  <c r="B105" i="2"/>
  <c r="C105" i="2"/>
  <c r="I105" i="2"/>
  <c r="H105" i="2"/>
  <c r="G102" i="2"/>
  <c r="J102" i="2"/>
  <c r="D102" i="2"/>
  <c r="C102" i="2"/>
  <c r="I102" i="2"/>
  <c r="H102" i="2"/>
  <c r="B102" i="2"/>
  <c r="F102" i="2"/>
  <c r="E102" i="2"/>
  <c r="F118" i="3"/>
  <c r="G118" i="3"/>
  <c r="E118" i="3"/>
  <c r="C118" i="3"/>
  <c r="B118" i="3"/>
  <c r="J118" i="3"/>
  <c r="I118" i="3"/>
  <c r="H118" i="3"/>
  <c r="D118" i="3"/>
  <c r="I46" i="4"/>
  <c r="E46" i="4"/>
  <c r="D46" i="4"/>
  <c r="H46" i="4"/>
  <c r="B46" i="4"/>
  <c r="C46" i="4"/>
  <c r="J46" i="4"/>
  <c r="F46" i="4"/>
  <c r="G46" i="4"/>
  <c r="F85" i="3"/>
  <c r="G85" i="3"/>
  <c r="B85" i="3"/>
  <c r="J85" i="3"/>
  <c r="H85" i="3"/>
  <c r="I85" i="3"/>
  <c r="E85" i="3"/>
  <c r="D85" i="3"/>
  <c r="C85" i="3"/>
  <c r="D160" i="4"/>
  <c r="E160" i="4"/>
  <c r="F160" i="4"/>
  <c r="G160" i="4"/>
  <c r="C160" i="4"/>
  <c r="H160" i="4"/>
  <c r="J160" i="4"/>
  <c r="I160" i="4"/>
  <c r="B160" i="4"/>
  <c r="I47" i="2"/>
  <c r="E47" i="2"/>
  <c r="G47" i="2"/>
  <c r="J47" i="2"/>
  <c r="C47" i="2"/>
  <c r="F47" i="2"/>
  <c r="H47" i="2"/>
  <c r="B47" i="2"/>
  <c r="D47" i="2"/>
  <c r="D52" i="2"/>
  <c r="G52" i="2"/>
  <c r="H52" i="2"/>
  <c r="E52" i="2"/>
  <c r="F52" i="2"/>
  <c r="B52" i="2"/>
  <c r="I52" i="2"/>
  <c r="C52" i="2"/>
  <c r="J52" i="2"/>
  <c r="F49" i="3"/>
  <c r="I49" i="3"/>
  <c r="H49" i="3"/>
  <c r="C49" i="3"/>
  <c r="D49" i="3"/>
  <c r="B49" i="3"/>
  <c r="E49" i="3"/>
  <c r="G49" i="3"/>
  <c r="J49" i="3"/>
  <c r="E28" i="4"/>
  <c r="J28" i="4"/>
  <c r="H28" i="4"/>
  <c r="D28" i="4"/>
  <c r="I28" i="4"/>
  <c r="C28" i="4"/>
  <c r="G28" i="4"/>
  <c r="B28" i="4"/>
  <c r="F28" i="4"/>
  <c r="E58" i="2"/>
  <c r="I58" i="2"/>
  <c r="F58" i="2"/>
  <c r="J58" i="2"/>
  <c r="H58" i="2"/>
  <c r="D58" i="2"/>
  <c r="G58" i="2"/>
  <c r="B58" i="2"/>
  <c r="I78" i="2"/>
  <c r="J78" i="2"/>
  <c r="B78" i="2"/>
  <c r="H78" i="2"/>
  <c r="G78" i="2"/>
  <c r="E78" i="2"/>
  <c r="C78" i="2"/>
  <c r="F78" i="2"/>
  <c r="D78" i="2"/>
  <c r="H57" i="2"/>
  <c r="G57" i="2"/>
  <c r="I57" i="2"/>
  <c r="B57" i="2"/>
  <c r="F57" i="2"/>
  <c r="E57" i="2"/>
  <c r="J57" i="2"/>
  <c r="D57" i="2"/>
  <c r="C57" i="2"/>
  <c r="C93" i="2"/>
  <c r="G93" i="2"/>
  <c r="I93" i="2"/>
  <c r="F93" i="2"/>
  <c r="J93" i="2"/>
  <c r="E93" i="2"/>
  <c r="H93" i="2"/>
  <c r="D93" i="2"/>
  <c r="B93" i="2"/>
  <c r="F124" i="3"/>
  <c r="E124" i="3"/>
  <c r="H124" i="3"/>
  <c r="J124" i="3"/>
  <c r="C124" i="3"/>
  <c r="G124" i="3"/>
  <c r="I124" i="3"/>
  <c r="D124" i="3"/>
  <c r="B124" i="3"/>
  <c r="D51" i="3"/>
  <c r="E51" i="3"/>
  <c r="J51" i="3"/>
  <c r="B51" i="3"/>
  <c r="G51" i="3"/>
  <c r="F51" i="3"/>
  <c r="I51" i="3"/>
  <c r="H51" i="3"/>
  <c r="C51" i="3"/>
  <c r="G107" i="3"/>
  <c r="H107" i="3"/>
  <c r="D107" i="3"/>
  <c r="E107" i="3"/>
  <c r="I107" i="3"/>
  <c r="B107" i="3"/>
  <c r="C107" i="3"/>
  <c r="F107" i="3"/>
  <c r="J107" i="3"/>
  <c r="D60" i="3"/>
  <c r="F60" i="3"/>
  <c r="C60" i="3"/>
  <c r="B60" i="3"/>
  <c r="H60" i="3"/>
  <c r="I60" i="3"/>
  <c r="J60" i="3"/>
  <c r="G60" i="3"/>
  <c r="E60" i="3"/>
  <c r="B175" i="3"/>
  <c r="I175" i="3"/>
  <c r="D175" i="3"/>
  <c r="G175" i="3"/>
  <c r="C175" i="3"/>
  <c r="E175" i="3"/>
  <c r="H175" i="3"/>
  <c r="J175" i="3"/>
  <c r="F175" i="3"/>
  <c r="G67" i="4"/>
  <c r="F67" i="4"/>
  <c r="H67" i="4"/>
  <c r="J67" i="4"/>
  <c r="B67" i="4"/>
  <c r="I67" i="4"/>
  <c r="E67" i="4"/>
  <c r="C67" i="4"/>
  <c r="D67" i="4"/>
  <c r="C100" i="4"/>
  <c r="D100" i="4"/>
  <c r="E100" i="4"/>
  <c r="G100" i="4"/>
  <c r="H100" i="4"/>
  <c r="J100" i="4"/>
  <c r="F100" i="4"/>
  <c r="B100" i="4"/>
  <c r="I100" i="4"/>
  <c r="H136" i="4"/>
  <c r="C136" i="4"/>
  <c r="F136" i="4"/>
  <c r="D136" i="4"/>
  <c r="E136" i="4"/>
  <c r="G136" i="4"/>
  <c r="I136" i="4"/>
  <c r="B136" i="4"/>
  <c r="J136" i="4"/>
  <c r="D165" i="4"/>
  <c r="J165" i="4"/>
  <c r="F165" i="4"/>
  <c r="H165" i="4"/>
  <c r="I165" i="4"/>
  <c r="G165" i="4"/>
  <c r="C165" i="4"/>
  <c r="B165" i="4"/>
  <c r="E165" i="4"/>
  <c r="F3" i="2"/>
  <c r="D3" i="2"/>
  <c r="I3" i="2"/>
  <c r="E3" i="2"/>
  <c r="J3" i="2"/>
  <c r="H3" i="2"/>
  <c r="G3" i="2"/>
  <c r="I132" i="2"/>
  <c r="G132" i="2"/>
  <c r="J132" i="2"/>
  <c r="B132" i="2"/>
  <c r="F132" i="2"/>
  <c r="C132" i="2"/>
  <c r="D132" i="2"/>
  <c r="H132" i="2"/>
  <c r="E132" i="2"/>
  <c r="C17" i="2"/>
  <c r="G17" i="2"/>
  <c r="H17" i="2"/>
  <c r="J17" i="2"/>
  <c r="B17" i="2"/>
  <c r="I17" i="2"/>
  <c r="D17" i="2"/>
  <c r="F17" i="2"/>
  <c r="E17" i="2"/>
  <c r="I144" i="2"/>
  <c r="D144" i="2"/>
  <c r="C144" i="2"/>
  <c r="B144" i="2"/>
  <c r="G144" i="2"/>
  <c r="E144" i="2"/>
  <c r="F144" i="2"/>
  <c r="H144" i="2"/>
  <c r="J144" i="2"/>
  <c r="B103" i="2"/>
  <c r="J103" i="2"/>
  <c r="C103" i="2"/>
  <c r="I103" i="2"/>
  <c r="H103" i="2"/>
  <c r="D103" i="2"/>
  <c r="E103" i="2"/>
  <c r="G103" i="2"/>
  <c r="F103" i="2"/>
  <c r="I4" i="3"/>
  <c r="J4" i="3"/>
  <c r="F4" i="3"/>
  <c r="C4" i="3"/>
  <c r="G4" i="3"/>
  <c r="D4" i="3"/>
  <c r="B4" i="3"/>
  <c r="H4" i="3"/>
  <c r="E4" i="3"/>
  <c r="B187" i="2"/>
  <c r="F187" i="2"/>
  <c r="H187" i="2"/>
  <c r="C187" i="2"/>
  <c r="E187" i="2"/>
  <c r="G187" i="2"/>
  <c r="J187" i="2"/>
  <c r="I187" i="2"/>
  <c r="D187" i="2"/>
  <c r="D55" i="3"/>
  <c r="I55" i="3"/>
  <c r="H55" i="3"/>
  <c r="E55" i="3"/>
  <c r="F55" i="3"/>
  <c r="B55" i="3"/>
  <c r="G55" i="3"/>
  <c r="C55" i="3"/>
  <c r="J55" i="3"/>
  <c r="H81" i="3"/>
  <c r="B81" i="3"/>
  <c r="F81" i="3"/>
  <c r="G81" i="3"/>
  <c r="D81" i="3"/>
  <c r="I81" i="3"/>
  <c r="E81" i="3"/>
  <c r="J81" i="3"/>
  <c r="C81" i="3"/>
  <c r="G194" i="3"/>
  <c r="H194" i="3"/>
  <c r="F194" i="3"/>
  <c r="I194" i="3"/>
  <c r="B194" i="3"/>
  <c r="E194" i="3"/>
  <c r="J194" i="3"/>
  <c r="D194" i="3"/>
  <c r="B197" i="3"/>
  <c r="F197" i="3"/>
  <c r="H197" i="3"/>
  <c r="I197" i="3"/>
  <c r="G197" i="3"/>
  <c r="J197" i="3"/>
  <c r="E197" i="3"/>
  <c r="D197" i="3"/>
  <c r="D30" i="4"/>
  <c r="H30" i="4"/>
  <c r="F30" i="4"/>
  <c r="G30" i="4"/>
  <c r="I30" i="4"/>
  <c r="C30" i="4"/>
  <c r="E30" i="4"/>
  <c r="B30" i="4"/>
  <c r="J30" i="4"/>
  <c r="E34" i="4"/>
  <c r="B34" i="4"/>
  <c r="H34" i="4"/>
  <c r="J34" i="4"/>
  <c r="I34" i="4"/>
  <c r="C34" i="4"/>
  <c r="G34" i="4"/>
  <c r="F34" i="4"/>
  <c r="D34" i="4"/>
  <c r="I77" i="4"/>
  <c r="C77" i="4"/>
  <c r="H77" i="4"/>
  <c r="F77" i="4"/>
  <c r="J77" i="4"/>
  <c r="B77" i="4"/>
  <c r="G77" i="4"/>
  <c r="D77" i="4"/>
  <c r="E77" i="4"/>
  <c r="D114" i="4"/>
  <c r="G114" i="4"/>
  <c r="C114" i="4"/>
  <c r="B114" i="4"/>
  <c r="H114" i="4"/>
  <c r="F114" i="4"/>
  <c r="E114" i="4"/>
  <c r="J114" i="4"/>
  <c r="I114" i="4"/>
  <c r="B126" i="4"/>
  <c r="H126" i="4"/>
  <c r="E126" i="4"/>
  <c r="F126" i="4"/>
  <c r="G126" i="4"/>
  <c r="C126" i="4"/>
  <c r="J126" i="4"/>
  <c r="I126" i="4"/>
  <c r="D126" i="4"/>
  <c r="G155" i="4"/>
  <c r="J155" i="4"/>
  <c r="F155" i="4"/>
  <c r="B155" i="4"/>
  <c r="I155" i="4"/>
  <c r="E155" i="4"/>
  <c r="C155" i="4"/>
  <c r="D155" i="4"/>
  <c r="H155" i="4"/>
  <c r="C161" i="2"/>
  <c r="D161" i="2"/>
  <c r="F161" i="2"/>
  <c r="J161" i="2"/>
  <c r="H161" i="2"/>
  <c r="B161" i="2"/>
  <c r="E161" i="2"/>
  <c r="G161" i="2"/>
  <c r="I161" i="2"/>
  <c r="B163" i="2"/>
  <c r="C163" i="2"/>
  <c r="F163" i="2"/>
  <c r="H163" i="2"/>
  <c r="D163" i="2"/>
  <c r="E163" i="2"/>
  <c r="J163" i="2"/>
  <c r="G163" i="2"/>
  <c r="I163" i="2"/>
  <c r="H130" i="3"/>
  <c r="F130" i="3"/>
  <c r="J130" i="3"/>
  <c r="G130" i="3"/>
  <c r="C130" i="3"/>
  <c r="D130" i="3"/>
  <c r="B130" i="3"/>
  <c r="I130" i="3"/>
  <c r="E130" i="3"/>
  <c r="J125" i="3"/>
  <c r="I125" i="3"/>
  <c r="C125" i="3"/>
  <c r="G125" i="3"/>
  <c r="H125" i="3"/>
  <c r="D125" i="3"/>
  <c r="E125" i="3"/>
  <c r="F125" i="3"/>
  <c r="B125" i="3"/>
  <c r="H163" i="3"/>
  <c r="I163" i="3"/>
  <c r="C163" i="3"/>
  <c r="J163" i="3"/>
  <c r="E163" i="3"/>
  <c r="B163" i="3"/>
  <c r="F163" i="3"/>
  <c r="D163" i="3"/>
  <c r="G163" i="3"/>
  <c r="J183" i="3"/>
  <c r="D183" i="3"/>
  <c r="B183" i="3"/>
  <c r="E183" i="3"/>
  <c r="G183" i="3"/>
  <c r="I183" i="3"/>
  <c r="F183" i="3"/>
  <c r="C183" i="3"/>
  <c r="H183" i="3"/>
  <c r="F182" i="3"/>
  <c r="E182" i="3"/>
  <c r="B182" i="3"/>
  <c r="D182" i="3"/>
  <c r="J182" i="3"/>
  <c r="I182" i="3"/>
  <c r="C182" i="3"/>
  <c r="G182" i="3"/>
  <c r="H182" i="3"/>
  <c r="E40" i="4"/>
  <c r="G40" i="4"/>
  <c r="J40" i="4"/>
  <c r="H40" i="4"/>
  <c r="F40" i="4"/>
  <c r="D40" i="4"/>
  <c r="C40" i="4"/>
  <c r="B40" i="4"/>
  <c r="I40" i="4"/>
  <c r="B55" i="4"/>
  <c r="F55" i="4"/>
  <c r="E55" i="4"/>
  <c r="C55" i="4"/>
  <c r="D55" i="4"/>
  <c r="G55" i="4"/>
  <c r="I55" i="4"/>
  <c r="H55" i="4"/>
  <c r="J55" i="4"/>
  <c r="H88" i="4"/>
  <c r="J88" i="4"/>
  <c r="E88" i="4"/>
  <c r="B88" i="4"/>
  <c r="I88" i="4"/>
  <c r="C88" i="4"/>
  <c r="D88" i="4"/>
  <c r="F88" i="4"/>
  <c r="G88" i="4"/>
  <c r="C149" i="4"/>
  <c r="G149" i="4"/>
  <c r="B149" i="4"/>
  <c r="F149" i="4"/>
  <c r="E149" i="4"/>
  <c r="D149" i="4"/>
  <c r="H149" i="4"/>
  <c r="J149" i="4"/>
  <c r="I149" i="4"/>
  <c r="H190" i="4"/>
  <c r="E190" i="4"/>
  <c r="D190" i="4"/>
  <c r="G190" i="4"/>
  <c r="B190" i="4"/>
  <c r="F190" i="4"/>
  <c r="J190" i="4"/>
  <c r="I190" i="4"/>
  <c r="H186" i="2"/>
  <c r="I186" i="2"/>
  <c r="J186" i="2"/>
  <c r="B186" i="2"/>
  <c r="F186" i="2"/>
  <c r="G186" i="2"/>
  <c r="C186" i="2"/>
  <c r="E186" i="2"/>
  <c r="D186" i="2"/>
  <c r="J55" i="2"/>
  <c r="E55" i="2"/>
  <c r="B55" i="2"/>
  <c r="I55" i="2"/>
  <c r="F55" i="2"/>
  <c r="D55" i="2"/>
  <c r="H55" i="2"/>
  <c r="G55" i="2"/>
  <c r="D83" i="3"/>
  <c r="F83" i="3"/>
  <c r="G83" i="3"/>
  <c r="I83" i="3"/>
  <c r="H83" i="3"/>
  <c r="B83" i="3"/>
  <c r="E83" i="3"/>
  <c r="C83" i="3"/>
  <c r="J83" i="3"/>
  <c r="C146" i="2"/>
  <c r="I146" i="2"/>
  <c r="D146" i="2"/>
  <c r="H146" i="2"/>
  <c r="B146" i="2"/>
  <c r="F146" i="2"/>
  <c r="G146" i="2"/>
  <c r="E146" i="2"/>
  <c r="J146" i="2"/>
  <c r="C148" i="2"/>
  <c r="D148" i="2"/>
  <c r="H148" i="2"/>
  <c r="J148" i="2"/>
  <c r="G148" i="2"/>
  <c r="B148" i="2"/>
  <c r="F148" i="2"/>
  <c r="I148" i="2"/>
  <c r="E148" i="2"/>
  <c r="I193" i="2"/>
  <c r="B193" i="2"/>
  <c r="H193" i="2"/>
  <c r="C193" i="2"/>
  <c r="G193" i="2"/>
  <c r="F193" i="2"/>
  <c r="D193" i="2"/>
  <c r="E193" i="2"/>
  <c r="J193" i="2"/>
  <c r="C95" i="3"/>
  <c r="J95" i="3"/>
  <c r="F95" i="3"/>
  <c r="H95" i="3"/>
  <c r="E95" i="3"/>
  <c r="D95" i="3"/>
  <c r="B95" i="3"/>
  <c r="G95" i="3"/>
  <c r="I95" i="3"/>
  <c r="I115" i="3"/>
  <c r="H115" i="3"/>
  <c r="J115" i="3"/>
  <c r="C115" i="3"/>
  <c r="D115" i="3"/>
  <c r="G115" i="3"/>
  <c r="B115" i="3"/>
  <c r="E115" i="3"/>
  <c r="F115" i="3"/>
  <c r="F148" i="3"/>
  <c r="C148" i="3"/>
  <c r="I148" i="3"/>
  <c r="G148" i="3"/>
  <c r="D148" i="3"/>
  <c r="E148" i="3"/>
  <c r="B148" i="3"/>
  <c r="H148" i="3"/>
  <c r="J148" i="3"/>
  <c r="G168" i="3"/>
  <c r="F168" i="3"/>
  <c r="E168" i="3"/>
  <c r="I168" i="3"/>
  <c r="J168" i="3"/>
  <c r="C168" i="3"/>
  <c r="H168" i="3"/>
  <c r="B168" i="3"/>
  <c r="D168" i="3"/>
  <c r="B167" i="3"/>
  <c r="E167" i="3"/>
  <c r="G167" i="3"/>
  <c r="D167" i="3"/>
  <c r="H167" i="3"/>
  <c r="J167" i="3"/>
  <c r="I167" i="3"/>
  <c r="C167" i="3"/>
  <c r="F167" i="3"/>
  <c r="I117" i="4"/>
  <c r="G117" i="4"/>
  <c r="J117" i="4"/>
  <c r="B117" i="4"/>
  <c r="H117" i="4"/>
  <c r="E117" i="4"/>
  <c r="F117" i="4"/>
  <c r="D117" i="4"/>
  <c r="C117" i="4"/>
  <c r="I112" i="4"/>
  <c r="G112" i="4"/>
  <c r="B112" i="4"/>
  <c r="D112" i="4"/>
  <c r="J112" i="4"/>
  <c r="C112" i="4"/>
  <c r="H112" i="4"/>
  <c r="F112" i="4"/>
  <c r="E112" i="4"/>
  <c r="J145" i="4"/>
  <c r="I145" i="4"/>
  <c r="B145" i="4"/>
  <c r="F145" i="4"/>
  <c r="C145" i="4"/>
  <c r="H145" i="4"/>
  <c r="D145" i="4"/>
  <c r="G145" i="4"/>
  <c r="E145" i="4"/>
  <c r="H179" i="4"/>
  <c r="E179" i="4"/>
  <c r="F179" i="4"/>
  <c r="D179" i="4"/>
  <c r="G179" i="4"/>
  <c r="I179" i="4"/>
  <c r="B179" i="4"/>
  <c r="J179" i="4"/>
  <c r="C179" i="4"/>
  <c r="D168" i="2"/>
  <c r="B168" i="2"/>
  <c r="G168" i="2"/>
  <c r="E168" i="2"/>
  <c r="F168" i="2"/>
  <c r="I168" i="2"/>
  <c r="H168" i="2"/>
  <c r="J168" i="2"/>
  <c r="I6" i="2"/>
  <c r="B6" i="2"/>
  <c r="G6" i="2"/>
  <c r="D6" i="2"/>
  <c r="F6" i="2"/>
  <c r="H6" i="2"/>
  <c r="E6" i="2"/>
  <c r="J6" i="2"/>
  <c r="C6" i="2"/>
  <c r="I135" i="2"/>
  <c r="E135" i="2"/>
  <c r="B135" i="2"/>
  <c r="J135" i="2"/>
  <c r="H135" i="2"/>
  <c r="G135" i="2"/>
  <c r="D135" i="2"/>
  <c r="F135" i="2"/>
  <c r="D60" i="2"/>
  <c r="H60" i="2"/>
  <c r="I60" i="2"/>
  <c r="F60" i="2"/>
  <c r="E60" i="2"/>
  <c r="C60" i="2"/>
  <c r="B60" i="2"/>
  <c r="G60" i="2"/>
  <c r="J60" i="2"/>
  <c r="C88" i="2"/>
  <c r="J88" i="2"/>
  <c r="B88" i="2"/>
  <c r="F88" i="2"/>
  <c r="E88" i="2"/>
  <c r="D88" i="2"/>
  <c r="I88" i="2"/>
  <c r="H88" i="2"/>
  <c r="G88" i="2"/>
  <c r="C120" i="2"/>
  <c r="G120" i="2"/>
  <c r="H120" i="2"/>
  <c r="E120" i="2"/>
  <c r="B120" i="2"/>
  <c r="J120" i="2"/>
  <c r="I120" i="2"/>
  <c r="D120" i="2"/>
  <c r="F120" i="2"/>
  <c r="H125" i="2"/>
  <c r="F125" i="2"/>
  <c r="J125" i="2"/>
  <c r="I125" i="2"/>
  <c r="D125" i="2"/>
  <c r="B125" i="2"/>
  <c r="G125" i="2"/>
  <c r="E125" i="2"/>
  <c r="J191" i="2"/>
  <c r="G191" i="2"/>
  <c r="I191" i="2"/>
  <c r="C191" i="2"/>
  <c r="F191" i="2"/>
  <c r="H191" i="2"/>
  <c r="D191" i="2"/>
  <c r="B191" i="2"/>
  <c r="E191" i="2"/>
  <c r="J171" i="2"/>
  <c r="E171" i="2"/>
  <c r="B171" i="2"/>
  <c r="G171" i="2"/>
  <c r="D171" i="2"/>
  <c r="H171" i="2"/>
  <c r="I171" i="2"/>
  <c r="F171" i="2"/>
  <c r="C171" i="2"/>
  <c r="E52" i="3"/>
  <c r="I52" i="3"/>
  <c r="J52" i="3"/>
  <c r="F52" i="3"/>
  <c r="H52" i="3"/>
  <c r="G52" i="3"/>
  <c r="C52" i="3"/>
  <c r="B52" i="3"/>
  <c r="D52" i="3"/>
  <c r="C100" i="3"/>
  <c r="I100" i="3"/>
  <c r="D100" i="3"/>
  <c r="J100" i="3"/>
  <c r="H100" i="3"/>
  <c r="E100" i="3"/>
  <c r="F100" i="3"/>
  <c r="B100" i="3"/>
  <c r="G100" i="3"/>
  <c r="J116" i="4"/>
  <c r="F116" i="4"/>
  <c r="C116" i="4"/>
  <c r="E116" i="4"/>
  <c r="D116" i="4"/>
  <c r="G116" i="4"/>
  <c r="I116" i="4"/>
  <c r="H116" i="4"/>
  <c r="B116" i="4"/>
  <c r="D153" i="3"/>
  <c r="H153" i="3"/>
  <c r="J153" i="3"/>
  <c r="B153" i="3"/>
  <c r="I153" i="3"/>
  <c r="F153" i="3"/>
  <c r="G153" i="3"/>
  <c r="C153" i="3"/>
  <c r="E153" i="3"/>
  <c r="F152" i="3"/>
  <c r="E152" i="3"/>
  <c r="B152" i="3"/>
  <c r="J152" i="3"/>
  <c r="H152" i="3"/>
  <c r="I152" i="3"/>
  <c r="C152" i="3"/>
  <c r="G152" i="3"/>
  <c r="D152" i="3"/>
  <c r="C76" i="4"/>
  <c r="I76" i="4"/>
  <c r="J76" i="4"/>
  <c r="G76" i="4"/>
  <c r="D76" i="4"/>
  <c r="E76" i="4"/>
  <c r="H76" i="4"/>
  <c r="F76" i="4"/>
  <c r="B76" i="4"/>
  <c r="D78" i="4"/>
  <c r="J78" i="4"/>
  <c r="C78" i="4"/>
  <c r="B78" i="4"/>
  <c r="F78" i="4"/>
  <c r="I78" i="4"/>
  <c r="G78" i="4"/>
  <c r="H78" i="4"/>
  <c r="E78" i="4"/>
  <c r="E89" i="4"/>
  <c r="I89" i="4"/>
  <c r="H89" i="4"/>
  <c r="J89" i="4"/>
  <c r="B89" i="4"/>
  <c r="C89" i="4"/>
  <c r="F89" i="4"/>
  <c r="G89" i="4"/>
  <c r="D89" i="4"/>
  <c r="C113" i="4"/>
  <c r="E113" i="4"/>
  <c r="G113" i="4"/>
  <c r="D113" i="4"/>
  <c r="F113" i="4"/>
  <c r="H113" i="4"/>
  <c r="I113" i="4"/>
  <c r="B113" i="4"/>
  <c r="J113" i="4"/>
  <c r="G151" i="4"/>
  <c r="J151" i="4"/>
  <c r="F151" i="4"/>
  <c r="H151" i="4"/>
  <c r="C151" i="4"/>
  <c r="D151" i="4"/>
  <c r="E151" i="4"/>
  <c r="B151" i="4"/>
  <c r="I151" i="4"/>
  <c r="C162" i="4"/>
  <c r="D162" i="4"/>
  <c r="G162" i="4"/>
  <c r="B162" i="4"/>
  <c r="H162" i="4"/>
  <c r="F162" i="4"/>
  <c r="J162" i="4"/>
  <c r="I162" i="4"/>
  <c r="E162" i="4"/>
  <c r="I106" i="4"/>
  <c r="C106" i="4"/>
  <c r="D106" i="4"/>
  <c r="F106" i="4"/>
  <c r="G106" i="4"/>
  <c r="H106" i="4"/>
  <c r="J106" i="4"/>
  <c r="E106" i="4"/>
  <c r="B106" i="4"/>
  <c r="D126" i="2"/>
  <c r="G126" i="2"/>
  <c r="E126" i="2"/>
  <c r="H126" i="2"/>
  <c r="C126" i="2"/>
  <c r="B126" i="2"/>
  <c r="J126" i="2"/>
  <c r="I126" i="2"/>
  <c r="F126" i="2"/>
  <c r="C25" i="3"/>
  <c r="G25" i="3"/>
  <c r="H25" i="3"/>
  <c r="B25" i="3"/>
  <c r="D25" i="3"/>
  <c r="I25" i="3"/>
  <c r="E25" i="3"/>
  <c r="F25" i="3"/>
  <c r="J25" i="3"/>
  <c r="E166" i="3"/>
  <c r="D166" i="3"/>
  <c r="H166" i="3"/>
  <c r="J166" i="3"/>
  <c r="F166" i="3"/>
  <c r="C166" i="3"/>
  <c r="I166" i="3"/>
  <c r="G166" i="3"/>
  <c r="B166" i="3"/>
  <c r="C58" i="4"/>
  <c r="F58" i="4"/>
  <c r="J58" i="4"/>
  <c r="E58" i="4"/>
  <c r="I58" i="4"/>
  <c r="G58" i="4"/>
  <c r="D58" i="4"/>
  <c r="H58" i="4"/>
  <c r="B58" i="4"/>
  <c r="J153" i="4"/>
  <c r="C153" i="4"/>
  <c r="H153" i="4"/>
  <c r="F153" i="4"/>
  <c r="D153" i="4"/>
  <c r="G153" i="4"/>
  <c r="E153" i="4"/>
  <c r="I153" i="4"/>
  <c r="B153" i="4"/>
  <c r="E80" i="2"/>
  <c r="D80" i="2"/>
  <c r="H80" i="2"/>
  <c r="F80" i="2"/>
  <c r="G80" i="2"/>
  <c r="J80" i="2"/>
  <c r="C80" i="2"/>
  <c r="B80" i="2"/>
  <c r="I80" i="2"/>
  <c r="E127" i="2"/>
  <c r="J127" i="2"/>
  <c r="B127" i="2"/>
  <c r="D127" i="2"/>
  <c r="C127" i="2"/>
  <c r="H127" i="2"/>
  <c r="G127" i="2"/>
  <c r="I127" i="2"/>
  <c r="F127" i="2"/>
  <c r="J151" i="2"/>
  <c r="E151" i="2"/>
  <c r="D151" i="2"/>
  <c r="G151" i="2"/>
  <c r="I151" i="2"/>
  <c r="B151" i="2"/>
  <c r="C151" i="2"/>
  <c r="F151" i="2"/>
  <c r="H151" i="2"/>
  <c r="H196" i="2"/>
  <c r="F196" i="2"/>
  <c r="C196" i="2"/>
  <c r="I196" i="2"/>
  <c r="B196" i="2"/>
  <c r="E196" i="2"/>
  <c r="D196" i="2"/>
  <c r="G196" i="2"/>
  <c r="J196" i="2"/>
  <c r="E75" i="4"/>
  <c r="C75" i="4"/>
  <c r="B75" i="4"/>
  <c r="J75" i="4"/>
  <c r="I75" i="4"/>
  <c r="G75" i="4"/>
  <c r="H75" i="4"/>
  <c r="F75" i="4"/>
  <c r="D75" i="4"/>
  <c r="H151" i="3"/>
  <c r="I151" i="3"/>
  <c r="C151" i="3"/>
  <c r="J151" i="3"/>
  <c r="E151" i="3"/>
  <c r="B151" i="3"/>
  <c r="F151" i="3"/>
  <c r="D151" i="3"/>
  <c r="G151" i="3"/>
  <c r="I171" i="3"/>
  <c r="F171" i="3"/>
  <c r="C171" i="3"/>
  <c r="H171" i="3"/>
  <c r="D171" i="3"/>
  <c r="E171" i="3"/>
  <c r="B171" i="3"/>
  <c r="J171" i="3"/>
  <c r="G171" i="3"/>
  <c r="I170" i="3"/>
  <c r="C170" i="3"/>
  <c r="G170" i="3"/>
  <c r="D170" i="3"/>
  <c r="F170" i="3"/>
  <c r="E170" i="3"/>
  <c r="B170" i="3"/>
  <c r="J170" i="3"/>
  <c r="H170" i="3"/>
  <c r="B18" i="4"/>
  <c r="D18" i="4"/>
  <c r="G18" i="4"/>
  <c r="H18" i="4"/>
  <c r="C18" i="4"/>
  <c r="E18" i="4"/>
  <c r="I18" i="4"/>
  <c r="F18" i="4"/>
  <c r="J18" i="4"/>
  <c r="C118" i="4"/>
  <c r="F118" i="4"/>
  <c r="G118" i="4"/>
  <c r="H118" i="4"/>
  <c r="E118" i="4"/>
  <c r="B118" i="4"/>
  <c r="J118" i="4"/>
  <c r="I118" i="4"/>
  <c r="D118" i="4"/>
  <c r="J63" i="2"/>
  <c r="H63" i="2"/>
  <c r="C63" i="2"/>
  <c r="D63" i="2"/>
  <c r="G63" i="2"/>
  <c r="E63" i="2"/>
  <c r="B63" i="2"/>
  <c r="I63" i="2"/>
  <c r="F63" i="2"/>
  <c r="C11" i="3"/>
  <c r="H11" i="3"/>
  <c r="E11" i="3"/>
  <c r="B11" i="3"/>
  <c r="D11" i="3"/>
  <c r="G11" i="3"/>
  <c r="J11" i="3"/>
  <c r="I11" i="3"/>
  <c r="F11" i="3"/>
  <c r="D44" i="4"/>
  <c r="I44" i="4"/>
  <c r="F44" i="4"/>
  <c r="B44" i="4"/>
  <c r="G44" i="4"/>
  <c r="C44" i="4"/>
  <c r="E44" i="4"/>
  <c r="H44" i="4"/>
  <c r="J44" i="4"/>
  <c r="C138" i="3"/>
  <c r="B138" i="3"/>
  <c r="F138" i="3"/>
  <c r="E138" i="3"/>
  <c r="H138" i="3"/>
  <c r="D138" i="3"/>
  <c r="I138" i="3"/>
  <c r="G138" i="3"/>
  <c r="J138" i="3"/>
  <c r="E99" i="2"/>
  <c r="C99" i="2"/>
  <c r="J99" i="2"/>
  <c r="F99" i="2"/>
  <c r="I99" i="2"/>
  <c r="B99" i="2"/>
  <c r="D99" i="2"/>
  <c r="G99" i="2"/>
  <c r="H99" i="2"/>
  <c r="C103" i="3"/>
  <c r="D103" i="3"/>
  <c r="G103" i="3"/>
  <c r="B103" i="3"/>
  <c r="E103" i="3"/>
  <c r="F103" i="3"/>
  <c r="I103" i="3"/>
  <c r="H103" i="3"/>
  <c r="J103" i="3"/>
  <c r="H98" i="4"/>
  <c r="E98" i="4"/>
  <c r="C98" i="4"/>
  <c r="D98" i="4"/>
  <c r="F98" i="4"/>
  <c r="G98" i="4"/>
  <c r="I98" i="4"/>
  <c r="J98" i="4"/>
  <c r="B98" i="4"/>
  <c r="E63" i="4"/>
  <c r="I63" i="4"/>
  <c r="F63" i="4"/>
  <c r="B63" i="4"/>
  <c r="J63" i="4"/>
  <c r="H63" i="4"/>
  <c r="D63" i="4"/>
  <c r="G63" i="4"/>
  <c r="C63" i="4"/>
  <c r="J152" i="2"/>
  <c r="E152" i="2"/>
  <c r="I152" i="2"/>
  <c r="F152" i="2"/>
  <c r="H152" i="2"/>
  <c r="C152" i="2"/>
  <c r="B152" i="2"/>
  <c r="D152" i="2"/>
  <c r="G152" i="2"/>
  <c r="B154" i="3"/>
  <c r="C154" i="3"/>
  <c r="I154" i="3"/>
  <c r="G154" i="3"/>
  <c r="H154" i="3"/>
  <c r="E154" i="3"/>
  <c r="D154" i="3"/>
  <c r="F154" i="3"/>
  <c r="J154" i="3"/>
  <c r="D171" i="4"/>
  <c r="F171" i="4"/>
  <c r="C171" i="4"/>
  <c r="E171" i="4"/>
  <c r="I171" i="4"/>
  <c r="J171" i="4"/>
  <c r="H171" i="4"/>
  <c r="B171" i="4"/>
  <c r="G171" i="4"/>
  <c r="D49" i="2"/>
  <c r="B49" i="2"/>
  <c r="C49" i="2"/>
  <c r="F49" i="2"/>
  <c r="G49" i="2"/>
  <c r="H49" i="2"/>
  <c r="E49" i="2"/>
  <c r="I49" i="2"/>
  <c r="J49" i="2"/>
  <c r="H11" i="4"/>
  <c r="D11" i="4"/>
  <c r="I11" i="4"/>
  <c r="C11" i="4"/>
  <c r="F11" i="4"/>
  <c r="J11" i="4"/>
  <c r="E11" i="4"/>
  <c r="G11" i="4"/>
  <c r="B11" i="4"/>
  <c r="F50" i="3"/>
  <c r="J50" i="3"/>
  <c r="D50" i="3"/>
  <c r="B50" i="3"/>
  <c r="I50" i="3"/>
  <c r="H50" i="3"/>
  <c r="G50" i="3"/>
  <c r="E50" i="3"/>
  <c r="C50" i="3"/>
  <c r="B85" i="2"/>
  <c r="F85" i="2"/>
  <c r="E85" i="2"/>
  <c r="D85" i="2"/>
  <c r="G85" i="2"/>
  <c r="J85" i="2"/>
  <c r="C85" i="2"/>
  <c r="I85" i="2"/>
  <c r="H85" i="2"/>
  <c r="F138" i="2"/>
  <c r="E138" i="2"/>
  <c r="D138" i="2"/>
  <c r="B138" i="2"/>
  <c r="H138" i="2"/>
  <c r="J138" i="2"/>
  <c r="C138" i="2"/>
  <c r="I138" i="2"/>
  <c r="G138" i="2"/>
  <c r="D75" i="3"/>
  <c r="J75" i="3"/>
  <c r="E75" i="3"/>
  <c r="C75" i="3"/>
  <c r="I75" i="3"/>
  <c r="H75" i="3"/>
  <c r="B75" i="3"/>
  <c r="F75" i="3"/>
  <c r="G75" i="3"/>
  <c r="H131" i="4"/>
  <c r="E131" i="4"/>
  <c r="B131" i="4"/>
  <c r="J131" i="4"/>
  <c r="F131" i="4"/>
  <c r="I131" i="4"/>
  <c r="G131" i="4"/>
  <c r="D131" i="4"/>
  <c r="C131" i="4"/>
  <c r="J4" i="2"/>
  <c r="I4" i="2"/>
  <c r="D4" i="2"/>
  <c r="H4" i="2"/>
  <c r="C4" i="2"/>
  <c r="E4" i="2"/>
  <c r="B4" i="2"/>
  <c r="F4" i="2"/>
  <c r="G4" i="2"/>
  <c r="D31" i="2"/>
  <c r="G31" i="2"/>
  <c r="C31" i="2"/>
  <c r="H31" i="2"/>
  <c r="F31" i="2"/>
  <c r="J31" i="2"/>
  <c r="I31" i="2"/>
  <c r="E31" i="2"/>
  <c r="B31" i="2"/>
  <c r="C14" i="2"/>
  <c r="E14" i="2"/>
  <c r="H14" i="2"/>
  <c r="J14" i="2"/>
  <c r="F14" i="2"/>
  <c r="D14" i="2"/>
  <c r="I14" i="2"/>
  <c r="G14" i="2"/>
  <c r="B14" i="2"/>
  <c r="H37" i="2"/>
  <c r="E37" i="2"/>
  <c r="B37" i="2"/>
  <c r="I37" i="2"/>
  <c r="J37" i="2"/>
  <c r="D37" i="2"/>
  <c r="G37" i="2"/>
  <c r="F37" i="2"/>
  <c r="C37" i="2"/>
  <c r="G159" i="2"/>
  <c r="I159" i="2"/>
  <c r="F159" i="2"/>
  <c r="C159" i="2"/>
  <c r="E159" i="2"/>
  <c r="D159" i="2"/>
  <c r="H159" i="2"/>
  <c r="J159" i="2"/>
  <c r="B159" i="2"/>
  <c r="B134" i="2"/>
  <c r="C134" i="2"/>
  <c r="G134" i="2"/>
  <c r="D134" i="2"/>
  <c r="E134" i="2"/>
  <c r="H134" i="2"/>
  <c r="F134" i="2"/>
  <c r="I134" i="2"/>
  <c r="J134" i="2"/>
  <c r="G21" i="3"/>
  <c r="B21" i="3"/>
  <c r="F21" i="3"/>
  <c r="E21" i="3"/>
  <c r="J21" i="3"/>
  <c r="H21" i="3"/>
  <c r="C21" i="3"/>
  <c r="D21" i="3"/>
  <c r="I21" i="3"/>
  <c r="D24" i="3"/>
  <c r="H24" i="3"/>
  <c r="E24" i="3"/>
  <c r="I24" i="3"/>
  <c r="B24" i="3"/>
  <c r="J24" i="3"/>
  <c r="F24" i="3"/>
  <c r="C24" i="3"/>
  <c r="G24" i="3"/>
  <c r="J70" i="3"/>
  <c r="E70" i="3"/>
  <c r="H70" i="3"/>
  <c r="I70" i="3"/>
  <c r="B70" i="3"/>
  <c r="F70" i="3"/>
  <c r="G70" i="3"/>
  <c r="D70" i="3"/>
  <c r="C70" i="3"/>
  <c r="D96" i="3"/>
  <c r="F96" i="3"/>
  <c r="C96" i="3"/>
  <c r="B96" i="3"/>
  <c r="H96" i="3"/>
  <c r="G96" i="3"/>
  <c r="E96" i="3"/>
  <c r="I96" i="3"/>
  <c r="J96" i="3"/>
  <c r="E14" i="4"/>
  <c r="H14" i="4"/>
  <c r="B14" i="4"/>
  <c r="D14" i="4"/>
  <c r="I14" i="4"/>
  <c r="G14" i="4"/>
  <c r="C14" i="4"/>
  <c r="F14" i="4"/>
  <c r="J14" i="4"/>
  <c r="D10" i="4"/>
  <c r="H10" i="4"/>
  <c r="E10" i="4"/>
  <c r="B10" i="4"/>
  <c r="J10" i="4"/>
  <c r="F10" i="4"/>
  <c r="I10" i="4"/>
  <c r="C10" i="4"/>
  <c r="G10" i="4"/>
  <c r="G47" i="4"/>
  <c r="D47" i="4"/>
  <c r="E47" i="4"/>
  <c r="H47" i="4"/>
  <c r="B47" i="4"/>
  <c r="F47" i="4"/>
  <c r="I47" i="4"/>
  <c r="C47" i="4"/>
  <c r="J47" i="4"/>
  <c r="C48" i="4"/>
  <c r="H48" i="4"/>
  <c r="E48" i="4"/>
  <c r="D48" i="4"/>
  <c r="I48" i="4"/>
  <c r="G48" i="4"/>
  <c r="J48" i="4"/>
  <c r="F48" i="4"/>
  <c r="B48" i="4"/>
  <c r="B176" i="4"/>
  <c r="C176" i="4"/>
  <c r="I176" i="4"/>
  <c r="E176" i="4"/>
  <c r="G176" i="4"/>
  <c r="J176" i="4"/>
  <c r="D176" i="4"/>
  <c r="F176" i="4"/>
  <c r="H176" i="4"/>
  <c r="J158" i="4"/>
  <c r="B158" i="4"/>
  <c r="C158" i="4"/>
  <c r="G158" i="4"/>
  <c r="I158" i="4"/>
  <c r="D158" i="4"/>
  <c r="F158" i="4"/>
  <c r="H158" i="4"/>
  <c r="E158" i="4"/>
  <c r="J193" i="4"/>
  <c r="B193" i="4"/>
  <c r="E193" i="4"/>
  <c r="F193" i="4"/>
  <c r="D193" i="4"/>
  <c r="H193" i="4"/>
  <c r="G193" i="4"/>
  <c r="I193" i="4"/>
  <c r="D41" i="2"/>
  <c r="F41" i="2"/>
  <c r="C41" i="2"/>
  <c r="H41" i="2"/>
  <c r="I41" i="2"/>
  <c r="J41" i="2"/>
  <c r="B41" i="2"/>
  <c r="G41" i="2"/>
  <c r="E41" i="2"/>
  <c r="H91" i="2"/>
  <c r="G91" i="2"/>
  <c r="C91" i="2"/>
  <c r="F91" i="2"/>
  <c r="B91" i="2"/>
  <c r="E91" i="2"/>
  <c r="I91" i="2"/>
  <c r="J91" i="2"/>
  <c r="D91" i="2"/>
  <c r="E38" i="2"/>
  <c r="J38" i="2"/>
  <c r="I38" i="2"/>
  <c r="H38" i="2"/>
  <c r="D38" i="2"/>
  <c r="G38" i="2"/>
  <c r="F38" i="2"/>
  <c r="B38" i="2"/>
  <c r="I71" i="2"/>
  <c r="B71" i="2"/>
  <c r="C71" i="2"/>
  <c r="D71" i="2"/>
  <c r="F71" i="2"/>
  <c r="J71" i="2"/>
  <c r="G71" i="2"/>
  <c r="H71" i="2"/>
  <c r="E71" i="2"/>
  <c r="I106" i="2"/>
  <c r="B106" i="2"/>
  <c r="H106" i="2"/>
  <c r="J106" i="2"/>
  <c r="F106" i="2"/>
  <c r="E106" i="2"/>
  <c r="G106" i="2"/>
  <c r="D106" i="2"/>
  <c r="E116" i="2"/>
  <c r="F116" i="2"/>
  <c r="D116" i="2"/>
  <c r="B116" i="2"/>
  <c r="I116" i="2"/>
  <c r="H116" i="2"/>
  <c r="C116" i="2"/>
  <c r="J116" i="2"/>
  <c r="G116" i="2"/>
  <c r="J177" i="2"/>
  <c r="E177" i="2"/>
  <c r="D177" i="2"/>
  <c r="C177" i="2"/>
  <c r="F177" i="2"/>
  <c r="B177" i="2"/>
  <c r="H177" i="2"/>
  <c r="G177" i="2"/>
  <c r="I177" i="2"/>
  <c r="G71" i="3"/>
  <c r="D71" i="3"/>
  <c r="I71" i="3"/>
  <c r="H71" i="3"/>
  <c r="C71" i="3"/>
  <c r="B71" i="3"/>
  <c r="F71" i="3"/>
  <c r="J71" i="3"/>
  <c r="E71" i="3"/>
  <c r="J34" i="3"/>
  <c r="H34" i="3"/>
  <c r="I34" i="3"/>
  <c r="C34" i="3"/>
  <c r="D34" i="3"/>
  <c r="G34" i="3"/>
  <c r="F34" i="3"/>
  <c r="B34" i="3"/>
  <c r="E34" i="3"/>
  <c r="C91" i="3"/>
  <c r="E91" i="3"/>
  <c r="G91" i="3"/>
  <c r="B91" i="3"/>
  <c r="J91" i="3"/>
  <c r="F91" i="3"/>
  <c r="I91" i="3"/>
  <c r="H91" i="3"/>
  <c r="D91" i="3"/>
  <c r="G120" i="3"/>
  <c r="F120" i="3"/>
  <c r="B120" i="3"/>
  <c r="H120" i="3"/>
  <c r="C120" i="3"/>
  <c r="J120" i="3"/>
  <c r="I120" i="3"/>
  <c r="D120" i="3"/>
  <c r="E120" i="3"/>
  <c r="J144" i="3"/>
  <c r="F144" i="3"/>
  <c r="H144" i="3"/>
  <c r="B144" i="3"/>
  <c r="I144" i="3"/>
  <c r="G144" i="3"/>
  <c r="C144" i="3"/>
  <c r="E144" i="3"/>
  <c r="D144" i="3"/>
  <c r="H143" i="3"/>
  <c r="E143" i="3"/>
  <c r="G143" i="3"/>
  <c r="B143" i="3"/>
  <c r="D143" i="3"/>
  <c r="J143" i="3"/>
  <c r="I143" i="3"/>
  <c r="C143" i="3"/>
  <c r="F143" i="3"/>
  <c r="E32" i="4"/>
  <c r="H32" i="4"/>
  <c r="I32" i="4"/>
  <c r="D32" i="4"/>
  <c r="F32" i="4"/>
  <c r="J32" i="4"/>
  <c r="B32" i="4"/>
  <c r="G32" i="4"/>
  <c r="C32" i="4"/>
  <c r="D68" i="4"/>
  <c r="C68" i="4"/>
  <c r="B68" i="4"/>
  <c r="G68" i="4"/>
  <c r="I68" i="4"/>
  <c r="H68" i="4"/>
  <c r="J68" i="4"/>
  <c r="E68" i="4"/>
  <c r="F68" i="4"/>
  <c r="F69" i="4"/>
  <c r="B69" i="4"/>
  <c r="H69" i="4"/>
  <c r="G69" i="4"/>
  <c r="C69" i="4"/>
  <c r="E69" i="4"/>
  <c r="J69" i="4"/>
  <c r="D69" i="4"/>
  <c r="I69" i="4"/>
  <c r="D99" i="4"/>
  <c r="E99" i="4"/>
  <c r="F99" i="4"/>
  <c r="H99" i="4"/>
  <c r="C99" i="4"/>
  <c r="B99" i="4"/>
  <c r="I99" i="4"/>
  <c r="G99" i="4"/>
  <c r="J99" i="4"/>
  <c r="H177" i="4"/>
  <c r="J177" i="4"/>
  <c r="E177" i="4"/>
  <c r="C177" i="4"/>
  <c r="G177" i="4"/>
  <c r="B177" i="4"/>
  <c r="F177" i="4"/>
  <c r="D177" i="4"/>
  <c r="I177" i="4"/>
  <c r="E189" i="4"/>
  <c r="I189" i="4"/>
  <c r="G189" i="4"/>
  <c r="C189" i="4"/>
  <c r="H189" i="4"/>
  <c r="J189" i="4"/>
  <c r="B189" i="4"/>
  <c r="D189" i="4"/>
  <c r="F189" i="4"/>
  <c r="H108" i="2"/>
  <c r="F108" i="2"/>
  <c r="C108" i="2"/>
  <c r="J108" i="2"/>
  <c r="B108" i="2"/>
  <c r="I108" i="2"/>
  <c r="G108" i="2"/>
  <c r="D108" i="2"/>
  <c r="E108" i="2"/>
  <c r="D13" i="3"/>
  <c r="H13" i="3"/>
  <c r="E13" i="3"/>
  <c r="I13" i="3"/>
  <c r="B13" i="3"/>
  <c r="J13" i="3"/>
  <c r="F13" i="3"/>
  <c r="C13" i="3"/>
  <c r="G13" i="3"/>
  <c r="G58" i="3"/>
  <c r="D58" i="3"/>
  <c r="C58" i="3"/>
  <c r="J58" i="3"/>
  <c r="E58" i="3"/>
  <c r="H58" i="3"/>
  <c r="I58" i="3"/>
  <c r="B58" i="3"/>
  <c r="F58" i="3"/>
  <c r="J84" i="3"/>
  <c r="F84" i="3"/>
  <c r="D84" i="3"/>
  <c r="B84" i="3"/>
  <c r="H84" i="3"/>
  <c r="C84" i="3"/>
  <c r="I84" i="3"/>
  <c r="G84" i="3"/>
  <c r="E84" i="3"/>
  <c r="D196" i="3"/>
  <c r="E196" i="3"/>
  <c r="J196" i="3"/>
  <c r="H196" i="3"/>
  <c r="G196" i="3"/>
  <c r="F196" i="3"/>
  <c r="I196" i="3"/>
  <c r="B196" i="3"/>
  <c r="I199" i="3"/>
  <c r="D199" i="3"/>
  <c r="B199" i="3"/>
  <c r="E199" i="3"/>
  <c r="F199" i="3"/>
  <c r="G199" i="3"/>
  <c r="H199" i="3"/>
  <c r="J199" i="3"/>
  <c r="H33" i="4"/>
  <c r="F33" i="4"/>
  <c r="I33" i="4"/>
  <c r="C33" i="4"/>
  <c r="J33" i="4"/>
  <c r="G33" i="4"/>
  <c r="D33" i="4"/>
  <c r="E33" i="4"/>
  <c r="B33" i="4"/>
  <c r="B37" i="4"/>
  <c r="H37" i="4"/>
  <c r="I37" i="4"/>
  <c r="C37" i="4"/>
  <c r="F37" i="4"/>
  <c r="D37" i="4"/>
  <c r="E37" i="4"/>
  <c r="G37" i="4"/>
  <c r="J37" i="4"/>
  <c r="H122" i="4"/>
  <c r="C122" i="4"/>
  <c r="G122" i="4"/>
  <c r="J122" i="4"/>
  <c r="I122" i="4"/>
  <c r="B122" i="4"/>
  <c r="F122" i="4"/>
  <c r="D122" i="4"/>
  <c r="E122" i="4"/>
  <c r="F120" i="4"/>
  <c r="C120" i="4"/>
  <c r="I120" i="4"/>
  <c r="J120" i="4"/>
  <c r="H120" i="4"/>
  <c r="B120" i="4"/>
  <c r="E120" i="4"/>
  <c r="G120" i="4"/>
  <c r="D120" i="4"/>
  <c r="E129" i="4"/>
  <c r="F129" i="4"/>
  <c r="I129" i="4"/>
  <c r="H129" i="4"/>
  <c r="C129" i="4"/>
  <c r="J129" i="4"/>
  <c r="B129" i="4"/>
  <c r="D129" i="4"/>
  <c r="G129" i="4"/>
  <c r="E163" i="4"/>
  <c r="I163" i="4"/>
  <c r="F163" i="4"/>
  <c r="H163" i="4"/>
  <c r="J163" i="4"/>
  <c r="D163" i="4"/>
  <c r="C163" i="4"/>
  <c r="G163" i="4"/>
  <c r="B163" i="4"/>
  <c r="C169" i="2"/>
  <c r="E169" i="2"/>
  <c r="J169" i="2"/>
  <c r="I169" i="2"/>
  <c r="H169" i="2"/>
  <c r="G169" i="2"/>
  <c r="D169" i="2"/>
  <c r="B169" i="2"/>
  <c r="F169" i="2"/>
  <c r="J104" i="2"/>
  <c r="D104" i="2"/>
  <c r="I104" i="2"/>
  <c r="H104" i="2"/>
  <c r="F104" i="2"/>
  <c r="B104" i="2"/>
  <c r="G104" i="2"/>
  <c r="E104" i="2"/>
  <c r="D121" i="2"/>
  <c r="C121" i="2"/>
  <c r="H121" i="2"/>
  <c r="F121" i="2"/>
  <c r="E121" i="2"/>
  <c r="B121" i="2"/>
  <c r="J121" i="2"/>
  <c r="I121" i="2"/>
  <c r="G121" i="2"/>
  <c r="H74" i="3"/>
  <c r="C74" i="3"/>
  <c r="G74" i="3"/>
  <c r="F74" i="3"/>
  <c r="J74" i="3"/>
  <c r="B74" i="3"/>
  <c r="D74" i="3"/>
  <c r="E74" i="3"/>
  <c r="I74" i="3"/>
  <c r="D184" i="2"/>
  <c r="E184" i="2"/>
  <c r="H184" i="2"/>
  <c r="I184" i="2"/>
  <c r="G184" i="2"/>
  <c r="F184" i="2"/>
  <c r="J184" i="2"/>
  <c r="B184" i="2"/>
  <c r="H185" i="2"/>
  <c r="B185" i="2"/>
  <c r="E185" i="2"/>
  <c r="G185" i="2"/>
  <c r="D185" i="2"/>
  <c r="F185" i="2"/>
  <c r="C185" i="2"/>
  <c r="I185" i="2"/>
  <c r="J185" i="2"/>
  <c r="H39" i="3"/>
  <c r="I39" i="3"/>
  <c r="E39" i="3"/>
  <c r="G39" i="3"/>
  <c r="C39" i="3"/>
  <c r="F39" i="3"/>
  <c r="D39" i="3"/>
  <c r="J39" i="3"/>
  <c r="B39" i="3"/>
  <c r="C116" i="3"/>
  <c r="E116" i="3"/>
  <c r="H116" i="3"/>
  <c r="G116" i="3"/>
  <c r="F116" i="3"/>
  <c r="D116" i="3"/>
  <c r="I116" i="3"/>
  <c r="B116" i="3"/>
  <c r="J116" i="3"/>
  <c r="E69" i="3"/>
  <c r="I69" i="3"/>
  <c r="J69" i="3"/>
  <c r="H69" i="3"/>
  <c r="B69" i="3"/>
  <c r="F69" i="3"/>
  <c r="G69" i="3"/>
  <c r="C69" i="3"/>
  <c r="D69" i="3"/>
  <c r="F184" i="3"/>
  <c r="C184" i="3"/>
  <c r="I184" i="3"/>
  <c r="G184" i="3"/>
  <c r="D184" i="3"/>
  <c r="E184" i="3"/>
  <c r="B184" i="3"/>
  <c r="H184" i="3"/>
  <c r="J184" i="3"/>
  <c r="E83" i="4"/>
  <c r="C83" i="4"/>
  <c r="G83" i="4"/>
  <c r="F83" i="4"/>
  <c r="J83" i="4"/>
  <c r="D83" i="4"/>
  <c r="B83" i="4"/>
  <c r="I83" i="4"/>
  <c r="H83" i="4"/>
  <c r="G15" i="4"/>
  <c r="D15" i="4"/>
  <c r="E15" i="4"/>
  <c r="H15" i="4"/>
  <c r="B15" i="4"/>
  <c r="F15" i="4"/>
  <c r="I15" i="4"/>
  <c r="C15" i="4"/>
  <c r="J15" i="4"/>
  <c r="I22" i="4"/>
  <c r="C22" i="4"/>
  <c r="F22" i="4"/>
  <c r="J22" i="4"/>
  <c r="E22" i="4"/>
  <c r="G22" i="4"/>
  <c r="B22" i="4"/>
  <c r="D22" i="4"/>
  <c r="H22" i="4"/>
  <c r="H79" i="4"/>
  <c r="F79" i="4"/>
  <c r="I79" i="4"/>
  <c r="D79" i="4"/>
  <c r="J79" i="4"/>
  <c r="G79" i="4"/>
  <c r="C79" i="4"/>
  <c r="B79" i="4"/>
  <c r="E79" i="4"/>
  <c r="C115" i="4"/>
  <c r="B115" i="4"/>
  <c r="G115" i="4"/>
  <c r="F115" i="4"/>
  <c r="I115" i="4"/>
  <c r="E115" i="4"/>
  <c r="D115" i="4"/>
  <c r="J115" i="4"/>
  <c r="H115" i="4"/>
  <c r="H172" i="4"/>
  <c r="B172" i="4"/>
  <c r="C172" i="4"/>
  <c r="F172" i="4"/>
  <c r="E172" i="4"/>
  <c r="G172" i="4"/>
  <c r="J172" i="4"/>
  <c r="D172" i="4"/>
  <c r="I172" i="4"/>
  <c r="I186" i="4"/>
  <c r="B186" i="4"/>
  <c r="F186" i="4"/>
  <c r="C186" i="4"/>
  <c r="J186" i="4"/>
  <c r="E186" i="4"/>
  <c r="G186" i="4"/>
  <c r="H186" i="4"/>
  <c r="D186" i="4"/>
  <c r="B44" i="2"/>
  <c r="G44" i="2"/>
  <c r="J44" i="2"/>
  <c r="H44" i="2"/>
  <c r="F44" i="2"/>
  <c r="C44" i="2"/>
  <c r="D44" i="2"/>
  <c r="E44" i="2"/>
  <c r="I44" i="2"/>
  <c r="H45" i="2"/>
  <c r="I45" i="2"/>
  <c r="B45" i="2"/>
  <c r="C45" i="2"/>
  <c r="F45" i="2"/>
  <c r="J45" i="2"/>
  <c r="G45" i="2"/>
  <c r="D45" i="2"/>
  <c r="E45" i="2"/>
  <c r="J77" i="2"/>
  <c r="G77" i="2"/>
  <c r="C77" i="2"/>
  <c r="B77" i="2"/>
  <c r="D77" i="2"/>
  <c r="H77" i="2"/>
  <c r="F77" i="2"/>
  <c r="I77" i="2"/>
  <c r="E77" i="2"/>
  <c r="I67" i="2"/>
  <c r="J67" i="2"/>
  <c r="B67" i="2"/>
  <c r="H67" i="2"/>
  <c r="C67" i="2"/>
  <c r="E67" i="2"/>
  <c r="G67" i="2"/>
  <c r="F67" i="2"/>
  <c r="D67" i="2"/>
  <c r="G46" i="2"/>
  <c r="J46" i="2"/>
  <c r="B46" i="2"/>
  <c r="E46" i="2"/>
  <c r="H46" i="2"/>
  <c r="I46" i="2"/>
  <c r="F46" i="2"/>
  <c r="D46" i="2"/>
  <c r="C46" i="2"/>
  <c r="B30" i="3"/>
  <c r="F30" i="3"/>
  <c r="H30" i="3"/>
  <c r="G30" i="3"/>
  <c r="D30" i="3"/>
  <c r="J30" i="3"/>
  <c r="I30" i="3"/>
  <c r="C30" i="3"/>
  <c r="E30" i="3"/>
  <c r="D172" i="2"/>
  <c r="H172" i="2"/>
  <c r="J172" i="2"/>
  <c r="I172" i="2"/>
  <c r="G172" i="2"/>
  <c r="B172" i="2"/>
  <c r="F172" i="2"/>
  <c r="E172" i="2"/>
  <c r="E33" i="3"/>
  <c r="I33" i="3"/>
  <c r="B33" i="3"/>
  <c r="C33" i="3"/>
  <c r="J33" i="3"/>
  <c r="H33" i="3"/>
  <c r="F33" i="3"/>
  <c r="D33" i="3"/>
  <c r="G33" i="3"/>
  <c r="D38" i="3"/>
  <c r="F38" i="3"/>
  <c r="E38" i="3"/>
  <c r="B38" i="3"/>
  <c r="G38" i="3"/>
  <c r="J38" i="3"/>
  <c r="I38" i="3"/>
  <c r="H38" i="3"/>
  <c r="C38" i="3"/>
  <c r="G101" i="3"/>
  <c r="D101" i="3"/>
  <c r="F101" i="3"/>
  <c r="C101" i="3"/>
  <c r="E101" i="3"/>
  <c r="I101" i="3"/>
  <c r="H101" i="3"/>
  <c r="J101" i="3"/>
  <c r="B101" i="3"/>
  <c r="B54" i="3"/>
  <c r="H54" i="3"/>
  <c r="J54" i="3"/>
  <c r="E54" i="3"/>
  <c r="G54" i="3"/>
  <c r="C54" i="3"/>
  <c r="I54" i="3"/>
  <c r="F54" i="3"/>
  <c r="D54" i="3"/>
  <c r="J169" i="3"/>
  <c r="E169" i="3"/>
  <c r="B169" i="3"/>
  <c r="F169" i="3"/>
  <c r="D169" i="3"/>
  <c r="G169" i="3"/>
  <c r="H169" i="3"/>
  <c r="I169" i="3"/>
  <c r="C169" i="3"/>
  <c r="J189" i="3"/>
  <c r="H189" i="3"/>
  <c r="I189" i="3"/>
  <c r="B189" i="3"/>
  <c r="D189" i="3"/>
  <c r="G189" i="3"/>
  <c r="E189" i="3"/>
  <c r="C189" i="3"/>
  <c r="F189" i="3"/>
  <c r="F188" i="3"/>
  <c r="E188" i="3"/>
  <c r="B188" i="3"/>
  <c r="J188" i="3"/>
  <c r="H188" i="3"/>
  <c r="I188" i="3"/>
  <c r="C188" i="3"/>
  <c r="G188" i="3"/>
  <c r="D188" i="3"/>
  <c r="I61" i="4"/>
  <c r="B61" i="4"/>
  <c r="D61" i="4"/>
  <c r="C61" i="4"/>
  <c r="J61" i="4"/>
  <c r="G61" i="4"/>
  <c r="E61" i="4"/>
  <c r="F61" i="4"/>
  <c r="H61" i="4"/>
  <c r="H94" i="4"/>
  <c r="J94" i="4"/>
  <c r="F94" i="4"/>
  <c r="B94" i="4"/>
  <c r="I94" i="4"/>
  <c r="C94" i="4"/>
  <c r="D94" i="4"/>
  <c r="E94" i="4"/>
  <c r="G94" i="4"/>
  <c r="D191" i="4"/>
  <c r="G191" i="4"/>
  <c r="I191" i="4"/>
  <c r="H191" i="4"/>
  <c r="B191" i="4"/>
  <c r="F191" i="4"/>
  <c r="J191" i="4"/>
  <c r="E191" i="4"/>
  <c r="C152" i="4"/>
  <c r="H152" i="4"/>
  <c r="G152" i="4"/>
  <c r="D152" i="4"/>
  <c r="E152" i="4"/>
  <c r="J152" i="4"/>
  <c r="I152" i="4"/>
  <c r="F152" i="4"/>
  <c r="B152" i="4"/>
  <c r="J181" i="2"/>
  <c r="B181" i="2"/>
  <c r="F181" i="2"/>
  <c r="D181" i="2"/>
  <c r="G181" i="2"/>
  <c r="I181" i="2"/>
  <c r="E181" i="2"/>
  <c r="C181" i="2"/>
  <c r="H181" i="2"/>
  <c r="B66" i="3"/>
  <c r="H66" i="3"/>
  <c r="C66" i="3"/>
  <c r="E66" i="3"/>
  <c r="G66" i="3"/>
  <c r="I66" i="3"/>
  <c r="J66" i="3"/>
  <c r="F66" i="3"/>
  <c r="D66" i="3"/>
  <c r="D74" i="4"/>
  <c r="B74" i="4"/>
  <c r="H74" i="4"/>
  <c r="E74" i="4"/>
  <c r="I74" i="4"/>
  <c r="F74" i="4"/>
  <c r="C74" i="4"/>
  <c r="G74" i="4"/>
  <c r="J74" i="4"/>
  <c r="C118" i="2"/>
  <c r="F118" i="2"/>
  <c r="E118" i="2"/>
  <c r="G118" i="2"/>
  <c r="H118" i="2"/>
  <c r="D118" i="2"/>
  <c r="J118" i="2"/>
  <c r="I118" i="2"/>
  <c r="B118" i="2"/>
  <c r="D12" i="3"/>
  <c r="F12" i="3"/>
  <c r="B12" i="3"/>
  <c r="E12" i="3"/>
  <c r="I12" i="3"/>
  <c r="H12" i="3"/>
  <c r="J12" i="3"/>
  <c r="C12" i="3"/>
  <c r="G12" i="3"/>
  <c r="H186" i="3"/>
  <c r="J186" i="3"/>
  <c r="I186" i="3"/>
  <c r="G186" i="3"/>
  <c r="F186" i="3"/>
  <c r="C186" i="3"/>
  <c r="B186" i="3"/>
  <c r="D186" i="3"/>
  <c r="E186" i="3"/>
  <c r="G91" i="4"/>
  <c r="F91" i="4"/>
  <c r="J91" i="4"/>
  <c r="C91" i="4"/>
  <c r="I91" i="4"/>
  <c r="H91" i="4"/>
  <c r="D91" i="4"/>
  <c r="B91" i="4"/>
  <c r="E91" i="4"/>
  <c r="F43" i="2"/>
  <c r="J43" i="2"/>
  <c r="B43" i="2"/>
  <c r="H43" i="2"/>
  <c r="C43" i="2"/>
  <c r="I43" i="2"/>
  <c r="G43" i="2"/>
  <c r="D43" i="2"/>
  <c r="E43" i="2"/>
  <c r="C157" i="4"/>
  <c r="I157" i="4"/>
  <c r="E157" i="4"/>
  <c r="B157" i="4"/>
  <c r="H157" i="4"/>
  <c r="J157" i="4"/>
  <c r="D157" i="4"/>
  <c r="G157" i="4"/>
  <c r="F157" i="4"/>
  <c r="I137" i="3"/>
  <c r="J137" i="3"/>
  <c r="F137" i="3"/>
  <c r="H137" i="3"/>
  <c r="E137" i="3"/>
  <c r="G137" i="3"/>
  <c r="B137" i="3"/>
  <c r="C137" i="3"/>
  <c r="D137" i="3"/>
  <c r="I101" i="2"/>
  <c r="B101" i="2"/>
  <c r="G101" i="2"/>
  <c r="C101" i="2"/>
  <c r="J101" i="2"/>
  <c r="D101" i="2"/>
  <c r="F101" i="2"/>
  <c r="E101" i="2"/>
  <c r="H101" i="2"/>
  <c r="J93" i="4"/>
  <c r="D93" i="4"/>
  <c r="G93" i="4"/>
  <c r="H93" i="4"/>
  <c r="I93" i="4"/>
  <c r="E93" i="4"/>
  <c r="F93" i="4"/>
  <c r="C93" i="4"/>
  <c r="B93" i="4"/>
  <c r="H15" i="3"/>
  <c r="C15" i="3"/>
  <c r="B15" i="3"/>
  <c r="D15" i="3"/>
  <c r="E15" i="3"/>
  <c r="F15" i="3"/>
  <c r="J15" i="3"/>
  <c r="I15" i="3"/>
  <c r="G15" i="3"/>
  <c r="I129" i="2"/>
  <c r="B129" i="2"/>
  <c r="G129" i="2"/>
  <c r="J129" i="2"/>
  <c r="H129" i="2"/>
  <c r="F129" i="2"/>
  <c r="C129" i="2"/>
  <c r="D129" i="2"/>
  <c r="E129" i="2"/>
  <c r="I34" i="2"/>
  <c r="E34" i="2"/>
  <c r="B34" i="2"/>
  <c r="J34" i="2"/>
  <c r="C34" i="2"/>
  <c r="D34" i="2"/>
  <c r="H34" i="2"/>
  <c r="G34" i="2"/>
  <c r="F34" i="2"/>
  <c r="G67" i="3"/>
  <c r="C67" i="3"/>
  <c r="J67" i="3"/>
  <c r="D67" i="3"/>
  <c r="I67" i="3"/>
  <c r="H67" i="3"/>
  <c r="F67" i="3"/>
  <c r="E67" i="3"/>
  <c r="B67" i="3"/>
  <c r="D45" i="4"/>
  <c r="B45" i="4"/>
  <c r="C45" i="4"/>
  <c r="F45" i="4"/>
  <c r="G45" i="4"/>
  <c r="J45" i="4"/>
  <c r="I45" i="4"/>
  <c r="E45" i="4"/>
  <c r="H45" i="4"/>
  <c r="H62" i="4"/>
  <c r="J62" i="4"/>
  <c r="D62" i="4"/>
  <c r="B62" i="4"/>
  <c r="F62" i="4"/>
  <c r="G62" i="4"/>
  <c r="I62" i="4"/>
  <c r="C62" i="4"/>
  <c r="E62" i="4"/>
  <c r="D123" i="2"/>
  <c r="H123" i="2"/>
  <c r="B123" i="2"/>
  <c r="I123" i="2"/>
  <c r="G123" i="2"/>
  <c r="E123" i="2"/>
  <c r="J123" i="2"/>
  <c r="C123" i="2"/>
  <c r="F123" i="2"/>
  <c r="B27" i="4"/>
  <c r="J27" i="4"/>
  <c r="F27" i="4"/>
  <c r="G27" i="4"/>
  <c r="I27" i="4"/>
  <c r="E27" i="4"/>
  <c r="C27" i="4"/>
  <c r="H27" i="4"/>
  <c r="D27" i="4"/>
  <c r="B119" i="4"/>
  <c r="I119" i="4"/>
  <c r="F119" i="4"/>
  <c r="G119" i="4"/>
  <c r="C119" i="4"/>
  <c r="H119" i="4"/>
  <c r="J119" i="4"/>
  <c r="D119" i="4"/>
  <c r="E119" i="4"/>
  <c r="E42" i="2"/>
  <c r="B42" i="2"/>
  <c r="D42" i="2"/>
  <c r="G42" i="2"/>
  <c r="C42" i="2"/>
  <c r="J42" i="2"/>
  <c r="I42" i="2"/>
  <c r="H42" i="2"/>
  <c r="F42" i="2"/>
  <c r="F154" i="2"/>
  <c r="I154" i="2"/>
  <c r="E154" i="2"/>
  <c r="C154" i="2"/>
  <c r="D154" i="2"/>
  <c r="H154" i="2"/>
  <c r="J154" i="2"/>
  <c r="G154" i="2"/>
  <c r="B154" i="2"/>
  <c r="F174" i="3"/>
  <c r="E174" i="3"/>
  <c r="H174" i="3"/>
  <c r="D174" i="3"/>
  <c r="I174" i="3"/>
  <c r="G174" i="3"/>
  <c r="J174" i="3"/>
  <c r="C174" i="3"/>
  <c r="B174" i="3"/>
  <c r="H167" i="4"/>
  <c r="D167" i="4"/>
  <c r="G167" i="4"/>
  <c r="E167" i="4"/>
  <c r="B167" i="4"/>
  <c r="I167" i="4"/>
  <c r="J167" i="4"/>
  <c r="C167" i="4"/>
  <c r="F167" i="4"/>
  <c r="B18" i="3"/>
  <c r="E18" i="3"/>
  <c r="J18" i="3"/>
  <c r="F18" i="3"/>
  <c r="I18" i="3"/>
  <c r="H18" i="3"/>
  <c r="G18" i="3"/>
  <c r="C18" i="3"/>
  <c r="D18" i="3"/>
  <c r="B64" i="4"/>
  <c r="C64" i="4"/>
  <c r="D64" i="4"/>
  <c r="F64" i="4"/>
  <c r="I64" i="4"/>
  <c r="G64" i="4"/>
  <c r="H64" i="4"/>
  <c r="E64" i="4"/>
  <c r="J64" i="4"/>
  <c r="H154" i="4"/>
  <c r="E154" i="4"/>
  <c r="F154" i="4"/>
  <c r="D154" i="4"/>
  <c r="C154" i="4"/>
  <c r="B154" i="4"/>
  <c r="G154" i="4"/>
  <c r="J154" i="4"/>
  <c r="I154" i="4"/>
  <c r="E56" i="3"/>
  <c r="H56" i="3"/>
  <c r="J56" i="3"/>
  <c r="I56" i="3"/>
  <c r="D56" i="3"/>
  <c r="C56" i="3"/>
  <c r="B56" i="3"/>
  <c r="F56" i="3"/>
  <c r="G56" i="3"/>
  <c r="C97" i="2"/>
  <c r="J97" i="2"/>
  <c r="D97" i="2"/>
  <c r="G97" i="2"/>
  <c r="F97" i="2"/>
  <c r="E97" i="2"/>
  <c r="H97" i="2"/>
  <c r="B97" i="2"/>
  <c r="I97" i="2"/>
  <c r="E190" i="3"/>
  <c r="I190" i="3"/>
  <c r="H190" i="3"/>
  <c r="D190" i="3"/>
  <c r="G190" i="3"/>
  <c r="J190" i="3"/>
  <c r="F190" i="3"/>
  <c r="B190" i="3"/>
  <c r="F197" i="4"/>
  <c r="B197" i="4"/>
  <c r="D197" i="4"/>
  <c r="G197" i="4"/>
  <c r="I197" i="4"/>
  <c r="H197" i="4"/>
  <c r="J197" i="4"/>
  <c r="E197" i="4"/>
  <c r="E30" i="2"/>
  <c r="C30" i="2"/>
  <c r="J30" i="2"/>
  <c r="F30" i="2"/>
  <c r="D30" i="2"/>
  <c r="G30" i="2"/>
  <c r="H30" i="2"/>
  <c r="I30" i="2"/>
  <c r="B30" i="2"/>
  <c r="F73" i="2"/>
  <c r="E73" i="2"/>
  <c r="G73" i="2"/>
  <c r="I73" i="2"/>
  <c r="H73" i="2"/>
  <c r="J73" i="2"/>
  <c r="B73" i="2"/>
  <c r="C73" i="2"/>
  <c r="D73" i="2"/>
  <c r="C35" i="2"/>
  <c r="J35" i="2"/>
  <c r="F35" i="2"/>
  <c r="G35" i="2"/>
  <c r="B35" i="2"/>
  <c r="I35" i="2"/>
  <c r="D35" i="2"/>
  <c r="H35" i="2"/>
  <c r="E35" i="2"/>
  <c r="F68" i="2"/>
  <c r="J68" i="2"/>
  <c r="C68" i="2"/>
  <c r="H68" i="2"/>
  <c r="D68" i="2"/>
  <c r="G68" i="2"/>
  <c r="E68" i="2"/>
  <c r="B68" i="2"/>
  <c r="I68" i="2"/>
  <c r="I92" i="3"/>
  <c r="G92" i="3"/>
  <c r="B92" i="3"/>
  <c r="E92" i="3"/>
  <c r="D92" i="3"/>
  <c r="H92" i="3"/>
  <c r="C92" i="3"/>
  <c r="J92" i="3"/>
  <c r="F92" i="3"/>
  <c r="H113" i="2"/>
  <c r="J113" i="2"/>
  <c r="G113" i="2"/>
  <c r="I113" i="2"/>
  <c r="D113" i="2"/>
  <c r="C113" i="2"/>
  <c r="F113" i="2"/>
  <c r="B113" i="2"/>
  <c r="E113" i="2"/>
  <c r="F119" i="3"/>
  <c r="C119" i="3"/>
  <c r="G119" i="3"/>
  <c r="B119" i="3"/>
  <c r="E119" i="3"/>
  <c r="I119" i="3"/>
  <c r="D119" i="3"/>
  <c r="H119" i="3"/>
  <c r="J119" i="3"/>
  <c r="E62" i="3"/>
  <c r="I62" i="3"/>
  <c r="G62" i="3"/>
  <c r="F62" i="3"/>
  <c r="J62" i="3"/>
  <c r="C62" i="3"/>
  <c r="B62" i="3"/>
  <c r="D62" i="3"/>
  <c r="H62" i="3"/>
  <c r="I31" i="3"/>
  <c r="F31" i="3"/>
  <c r="C31" i="3"/>
  <c r="H31" i="3"/>
  <c r="E31" i="3"/>
  <c r="B31" i="3"/>
  <c r="D31" i="3"/>
  <c r="G31" i="3"/>
  <c r="J31" i="3"/>
  <c r="E88" i="3"/>
  <c r="B88" i="3"/>
  <c r="G88" i="3"/>
  <c r="C88" i="3"/>
  <c r="I88" i="3"/>
  <c r="F88" i="3"/>
  <c r="D88" i="3"/>
  <c r="H88" i="3"/>
  <c r="J88" i="3"/>
  <c r="C114" i="3"/>
  <c r="I114" i="3"/>
  <c r="H114" i="3"/>
  <c r="E114" i="3"/>
  <c r="G114" i="3"/>
  <c r="J114" i="3"/>
  <c r="B114" i="3"/>
  <c r="D114" i="3"/>
  <c r="F114" i="3"/>
  <c r="J141" i="3"/>
  <c r="H141" i="3"/>
  <c r="I141" i="3"/>
  <c r="D141" i="3"/>
  <c r="G141" i="3"/>
  <c r="C141" i="3"/>
  <c r="E141" i="3"/>
  <c r="F141" i="3"/>
  <c r="B141" i="3"/>
  <c r="E140" i="3"/>
  <c r="D140" i="3"/>
  <c r="J140" i="3"/>
  <c r="B140" i="3"/>
  <c r="I140" i="3"/>
  <c r="C140" i="3"/>
  <c r="G140" i="3"/>
  <c r="H140" i="3"/>
  <c r="F140" i="3"/>
  <c r="H29" i="4"/>
  <c r="F29" i="4"/>
  <c r="D29" i="4"/>
  <c r="E29" i="4"/>
  <c r="B29" i="4"/>
  <c r="G29" i="4"/>
  <c r="I29" i="4"/>
  <c r="J29" i="4"/>
  <c r="C29" i="4"/>
  <c r="C65" i="4"/>
  <c r="J65" i="4"/>
  <c r="D65" i="4"/>
  <c r="G65" i="4"/>
  <c r="F65" i="4"/>
  <c r="E65" i="4"/>
  <c r="I65" i="4"/>
  <c r="B65" i="4"/>
  <c r="H65" i="4"/>
  <c r="D66" i="4"/>
  <c r="F66" i="4"/>
  <c r="B66" i="4"/>
  <c r="C66" i="4"/>
  <c r="J66" i="4"/>
  <c r="H66" i="4"/>
  <c r="E66" i="4"/>
  <c r="G66" i="4"/>
  <c r="I66" i="4"/>
  <c r="B96" i="4"/>
  <c r="F96" i="4"/>
  <c r="J96" i="4"/>
  <c r="E96" i="4"/>
  <c r="G96" i="4"/>
  <c r="D96" i="4"/>
  <c r="C96" i="4"/>
  <c r="H96" i="4"/>
  <c r="I96" i="4"/>
  <c r="D164" i="4"/>
  <c r="H164" i="4"/>
  <c r="F164" i="4"/>
  <c r="J164" i="4"/>
  <c r="G164" i="4"/>
  <c r="C164" i="4"/>
  <c r="B164" i="4"/>
  <c r="I164" i="4"/>
  <c r="E164" i="4"/>
  <c r="J200" i="4"/>
  <c r="E200" i="4"/>
  <c r="G200" i="4"/>
  <c r="H200" i="4"/>
  <c r="D200" i="4"/>
  <c r="B200" i="4"/>
  <c r="I200" i="4"/>
  <c r="F200" i="4"/>
  <c r="E16" i="2"/>
  <c r="H16" i="2"/>
  <c r="F16" i="2"/>
  <c r="G16" i="2"/>
  <c r="J16" i="2"/>
  <c r="I16" i="2"/>
  <c r="D16" i="2"/>
  <c r="B16" i="2"/>
  <c r="G69" i="2"/>
  <c r="E69" i="2"/>
  <c r="B69" i="2"/>
  <c r="I69" i="2"/>
  <c r="F69" i="2"/>
  <c r="J69" i="2"/>
  <c r="H69" i="2"/>
  <c r="C69" i="2"/>
  <c r="D69" i="2"/>
  <c r="J167" i="2"/>
  <c r="I167" i="2"/>
  <c r="C167" i="2"/>
  <c r="H167" i="2"/>
  <c r="D167" i="2"/>
  <c r="E167" i="2"/>
  <c r="B167" i="2"/>
  <c r="F167" i="2"/>
  <c r="G167" i="2"/>
  <c r="I140" i="2"/>
  <c r="F140" i="2"/>
  <c r="H140" i="2"/>
  <c r="C140" i="2"/>
  <c r="B140" i="2"/>
  <c r="D140" i="2"/>
  <c r="E140" i="2"/>
  <c r="J140" i="2"/>
  <c r="G140" i="2"/>
  <c r="G142" i="2"/>
  <c r="B142" i="2"/>
  <c r="F142" i="2"/>
  <c r="I142" i="2"/>
  <c r="E142" i="2"/>
  <c r="C142" i="2"/>
  <c r="D142" i="2"/>
  <c r="H142" i="2"/>
  <c r="J142" i="2"/>
  <c r="E200" i="2"/>
  <c r="H200" i="2"/>
  <c r="F200" i="2"/>
  <c r="B200" i="2"/>
  <c r="J200" i="2"/>
  <c r="G200" i="2"/>
  <c r="D200" i="2"/>
  <c r="I200" i="2"/>
  <c r="E182" i="2"/>
  <c r="B182" i="2"/>
  <c r="I182" i="2"/>
  <c r="J182" i="2"/>
  <c r="H182" i="2"/>
  <c r="C182" i="2"/>
  <c r="G182" i="2"/>
  <c r="F182" i="2"/>
  <c r="D182" i="2"/>
  <c r="G77" i="3"/>
  <c r="H77" i="3"/>
  <c r="E77" i="3"/>
  <c r="F77" i="3"/>
  <c r="B77" i="3"/>
  <c r="J77" i="3"/>
  <c r="I77" i="3"/>
  <c r="D77" i="3"/>
  <c r="C77" i="3"/>
  <c r="E109" i="3"/>
  <c r="H109" i="3"/>
  <c r="I109" i="3"/>
  <c r="F109" i="3"/>
  <c r="J109" i="3"/>
  <c r="C109" i="3"/>
  <c r="D109" i="3"/>
  <c r="G109" i="3"/>
  <c r="B109" i="3"/>
  <c r="G142" i="3"/>
  <c r="H142" i="3"/>
  <c r="E142" i="3"/>
  <c r="D142" i="3"/>
  <c r="F142" i="3"/>
  <c r="J142" i="3"/>
  <c r="B142" i="3"/>
  <c r="C142" i="3"/>
  <c r="I142" i="3"/>
  <c r="I162" i="3"/>
  <c r="G162" i="3"/>
  <c r="D162" i="3"/>
  <c r="C162" i="3"/>
  <c r="E162" i="3"/>
  <c r="F162" i="3"/>
  <c r="B162" i="3"/>
  <c r="H162" i="3"/>
  <c r="J162" i="3"/>
  <c r="I161" i="3"/>
  <c r="C161" i="3"/>
  <c r="F161" i="3"/>
  <c r="H161" i="3"/>
  <c r="E161" i="3"/>
  <c r="G161" i="3"/>
  <c r="B161" i="3"/>
  <c r="D161" i="3"/>
  <c r="J161" i="3"/>
  <c r="B95" i="4"/>
  <c r="E95" i="4"/>
  <c r="I95" i="4"/>
  <c r="D95" i="4"/>
  <c r="G95" i="4"/>
  <c r="F95" i="4"/>
  <c r="H95" i="4"/>
  <c r="C95" i="4"/>
  <c r="J95" i="4"/>
  <c r="E109" i="4"/>
  <c r="H109" i="4"/>
  <c r="B109" i="4"/>
  <c r="D109" i="4"/>
  <c r="F109" i="4"/>
  <c r="C109" i="4"/>
  <c r="I109" i="4"/>
  <c r="J109" i="4"/>
  <c r="G109" i="4"/>
  <c r="J143" i="4"/>
  <c r="C143" i="4"/>
  <c r="H143" i="4"/>
  <c r="I143" i="4"/>
  <c r="G143" i="4"/>
  <c r="E143" i="4"/>
  <c r="B143" i="4"/>
  <c r="D143" i="4"/>
  <c r="F143" i="4"/>
  <c r="I169" i="4"/>
  <c r="C169" i="4"/>
  <c r="D169" i="4"/>
  <c r="F169" i="4"/>
  <c r="G169" i="4"/>
  <c r="B169" i="4"/>
  <c r="H169" i="4"/>
  <c r="E169" i="4"/>
  <c r="J169" i="4"/>
  <c r="D76" i="2"/>
  <c r="C76" i="2"/>
  <c r="H76" i="2"/>
  <c r="J76" i="2"/>
  <c r="G76" i="2"/>
  <c r="E76" i="2"/>
  <c r="B76" i="2"/>
  <c r="I76" i="2"/>
  <c r="F76" i="2"/>
  <c r="C175" i="2"/>
  <c r="J175" i="2"/>
  <c r="B175" i="2"/>
  <c r="H175" i="2"/>
  <c r="F175" i="2"/>
  <c r="D175" i="2"/>
  <c r="G175" i="2"/>
  <c r="I175" i="2"/>
  <c r="E175" i="2"/>
  <c r="F27" i="3"/>
  <c r="C27" i="3"/>
  <c r="G27" i="3"/>
  <c r="D27" i="3"/>
  <c r="B27" i="3"/>
  <c r="H27" i="3"/>
  <c r="E27" i="3"/>
  <c r="I27" i="3"/>
  <c r="J27" i="3"/>
  <c r="I32" i="3"/>
  <c r="B32" i="3"/>
  <c r="J32" i="3"/>
  <c r="F32" i="3"/>
  <c r="C32" i="3"/>
  <c r="G32" i="3"/>
  <c r="D32" i="3"/>
  <c r="H32" i="3"/>
  <c r="E32" i="3"/>
  <c r="J76" i="3"/>
  <c r="H76" i="3"/>
  <c r="D76" i="3"/>
  <c r="G76" i="3"/>
  <c r="I76" i="3"/>
  <c r="B76" i="3"/>
  <c r="F76" i="3"/>
  <c r="C76" i="3"/>
  <c r="E76" i="3"/>
  <c r="C102" i="3"/>
  <c r="I102" i="3"/>
  <c r="H102" i="3"/>
  <c r="E102" i="3"/>
  <c r="G102" i="3"/>
  <c r="D102" i="3"/>
  <c r="B102" i="3"/>
  <c r="F102" i="3"/>
  <c r="J102" i="3"/>
  <c r="B128" i="3"/>
  <c r="I128" i="3"/>
  <c r="G128" i="3"/>
  <c r="D128" i="3"/>
  <c r="F128" i="3"/>
  <c r="J128" i="3"/>
  <c r="C128" i="3"/>
  <c r="E128" i="3"/>
  <c r="H128" i="3"/>
  <c r="J53" i="4"/>
  <c r="G53" i="4"/>
  <c r="D53" i="4"/>
  <c r="E53" i="4"/>
  <c r="F53" i="4"/>
  <c r="H53" i="4"/>
  <c r="B53" i="4"/>
  <c r="I53" i="4"/>
  <c r="C53" i="4"/>
  <c r="H54" i="4"/>
  <c r="C54" i="4"/>
  <c r="D54" i="4"/>
  <c r="B54" i="4"/>
  <c r="E54" i="4"/>
  <c r="G54" i="4"/>
  <c r="I54" i="4"/>
  <c r="J54" i="4"/>
  <c r="F54" i="4"/>
  <c r="E84" i="4"/>
  <c r="H84" i="4"/>
  <c r="G84" i="4"/>
  <c r="C84" i="4"/>
  <c r="I84" i="4"/>
  <c r="B84" i="4"/>
  <c r="D84" i="4"/>
  <c r="J84" i="4"/>
  <c r="F84" i="4"/>
  <c r="J134" i="4"/>
  <c r="F134" i="4"/>
  <c r="B134" i="4"/>
  <c r="D134" i="4"/>
  <c r="I134" i="4"/>
  <c r="C134" i="4"/>
  <c r="G134" i="4"/>
  <c r="H134" i="4"/>
  <c r="E134" i="4"/>
  <c r="G185" i="4"/>
  <c r="J185" i="4"/>
  <c r="E185" i="4"/>
  <c r="B185" i="4"/>
  <c r="F185" i="4"/>
  <c r="D185" i="4"/>
  <c r="H185" i="4"/>
  <c r="I185" i="4"/>
  <c r="C185" i="4"/>
  <c r="C15" i="2"/>
  <c r="H15" i="2"/>
  <c r="I15" i="2"/>
  <c r="J15" i="2"/>
  <c r="B15" i="2"/>
  <c r="G15" i="2"/>
  <c r="E15" i="2"/>
  <c r="D15" i="2"/>
  <c r="F15" i="2"/>
  <c r="G150" i="2"/>
  <c r="B150" i="2"/>
  <c r="D150" i="2"/>
  <c r="J150" i="2"/>
  <c r="H150" i="2"/>
  <c r="I150" i="2"/>
  <c r="C150" i="2"/>
  <c r="F150" i="2"/>
  <c r="E150" i="2"/>
  <c r="D111" i="2"/>
  <c r="H111" i="2"/>
  <c r="G111" i="2"/>
  <c r="B111" i="2"/>
  <c r="C111" i="2"/>
  <c r="E111" i="2"/>
  <c r="F111" i="2"/>
  <c r="I111" i="2"/>
  <c r="J111" i="2"/>
  <c r="F10" i="3"/>
  <c r="E10" i="3"/>
  <c r="J10" i="3"/>
  <c r="H10" i="3"/>
  <c r="C10" i="3"/>
  <c r="D10" i="3"/>
  <c r="I10" i="3"/>
  <c r="G10" i="3"/>
  <c r="B10" i="3"/>
  <c r="J5" i="3"/>
  <c r="E5" i="3"/>
  <c r="D5" i="3"/>
  <c r="C5" i="3"/>
  <c r="B5" i="3"/>
  <c r="G5" i="3"/>
  <c r="H5" i="3"/>
  <c r="I5" i="3"/>
  <c r="F5" i="3"/>
  <c r="B61" i="3"/>
  <c r="H61" i="3"/>
  <c r="G61" i="3"/>
  <c r="E61" i="3"/>
  <c r="D61" i="3"/>
  <c r="I61" i="3"/>
  <c r="J61" i="3"/>
  <c r="F61" i="3"/>
  <c r="C61" i="3"/>
  <c r="B87" i="3"/>
  <c r="F87" i="3"/>
  <c r="G87" i="3"/>
  <c r="C87" i="3"/>
  <c r="D87" i="3"/>
  <c r="E87" i="3"/>
  <c r="I87" i="3"/>
  <c r="J87" i="3"/>
  <c r="H87" i="3"/>
  <c r="E198" i="3"/>
  <c r="I198" i="3"/>
  <c r="G198" i="3"/>
  <c r="B198" i="3"/>
  <c r="J198" i="3"/>
  <c r="F198" i="3"/>
  <c r="H198" i="3"/>
  <c r="D198" i="3"/>
  <c r="C4" i="4"/>
  <c r="J4" i="4"/>
  <c r="H4" i="4"/>
  <c r="I4" i="4"/>
  <c r="B4" i="4"/>
  <c r="E4" i="4"/>
  <c r="G4" i="4"/>
  <c r="F4" i="4"/>
  <c r="D4" i="4"/>
  <c r="E36" i="4"/>
  <c r="H36" i="4"/>
  <c r="J36" i="4"/>
  <c r="D36" i="4"/>
  <c r="B36" i="4"/>
  <c r="F36" i="4"/>
  <c r="G36" i="4"/>
  <c r="I36" i="4"/>
  <c r="C36" i="4"/>
  <c r="H43" i="4"/>
  <c r="G43" i="4"/>
  <c r="D43" i="4"/>
  <c r="J43" i="4"/>
  <c r="B43" i="4"/>
  <c r="E43" i="4"/>
  <c r="I43" i="4"/>
  <c r="F43" i="4"/>
  <c r="C43" i="4"/>
  <c r="D127" i="4"/>
  <c r="F127" i="4"/>
  <c r="G127" i="4"/>
  <c r="B127" i="4"/>
  <c r="J127" i="4"/>
  <c r="H127" i="4"/>
  <c r="E127" i="4"/>
  <c r="I127" i="4"/>
  <c r="C127" i="4"/>
  <c r="H124" i="4"/>
  <c r="G124" i="4"/>
  <c r="B124" i="4"/>
  <c r="D124" i="4"/>
  <c r="J124" i="4"/>
  <c r="I124" i="4"/>
  <c r="F124" i="4"/>
  <c r="C124" i="4"/>
  <c r="E124" i="4"/>
  <c r="B132" i="4"/>
  <c r="H132" i="4"/>
  <c r="E132" i="4"/>
  <c r="F132" i="4"/>
  <c r="G132" i="4"/>
  <c r="D132" i="4"/>
  <c r="C132" i="4"/>
  <c r="I132" i="4"/>
  <c r="J132" i="4"/>
  <c r="B168" i="4"/>
  <c r="C168" i="4"/>
  <c r="D168" i="4"/>
  <c r="E168" i="4"/>
  <c r="I168" i="4"/>
  <c r="F168" i="4"/>
  <c r="H168" i="4"/>
  <c r="J168" i="4"/>
  <c r="G168" i="4"/>
  <c r="D18" i="2"/>
  <c r="I18" i="2"/>
  <c r="B18" i="2"/>
  <c r="F18" i="2"/>
  <c r="G18" i="2"/>
  <c r="E18" i="2"/>
  <c r="C18" i="2"/>
  <c r="J18" i="2"/>
  <c r="H18" i="2"/>
  <c r="F112" i="2"/>
  <c r="I112" i="2"/>
  <c r="J112" i="2"/>
  <c r="B112" i="2"/>
  <c r="H112" i="2"/>
  <c r="G112" i="2"/>
  <c r="D112" i="2"/>
  <c r="E112" i="2"/>
  <c r="B94" i="2"/>
  <c r="I94" i="2"/>
  <c r="C94" i="2"/>
  <c r="G94" i="2"/>
  <c r="J94" i="2"/>
  <c r="F94" i="2"/>
  <c r="E94" i="2"/>
  <c r="H94" i="2"/>
  <c r="D94" i="2"/>
  <c r="J5" i="2"/>
  <c r="I5" i="2"/>
  <c r="F5" i="2"/>
  <c r="D5" i="2"/>
  <c r="C5" i="2"/>
  <c r="E5" i="2"/>
  <c r="H5" i="2"/>
  <c r="G5" i="2"/>
  <c r="B5" i="2"/>
  <c r="E89" i="2"/>
  <c r="I89" i="2"/>
  <c r="H89" i="2"/>
  <c r="D89" i="2"/>
  <c r="B89" i="2"/>
  <c r="F89" i="2"/>
  <c r="G89" i="2"/>
  <c r="C89" i="2"/>
  <c r="J89" i="2"/>
  <c r="B35" i="3"/>
  <c r="G35" i="3"/>
  <c r="E35" i="3"/>
  <c r="C35" i="3"/>
  <c r="D35" i="3"/>
  <c r="J35" i="3"/>
  <c r="H35" i="3"/>
  <c r="F35" i="3"/>
  <c r="I35" i="3"/>
  <c r="F124" i="2"/>
  <c r="I124" i="2"/>
  <c r="J124" i="2"/>
  <c r="B124" i="2"/>
  <c r="D124" i="2"/>
  <c r="G124" i="2"/>
  <c r="C124" i="2"/>
  <c r="E124" i="2"/>
  <c r="H124" i="2"/>
  <c r="H92" i="2"/>
  <c r="I92" i="2"/>
  <c r="B92" i="2"/>
  <c r="E92" i="2"/>
  <c r="G92" i="2"/>
  <c r="F92" i="2"/>
  <c r="D92" i="2"/>
  <c r="J92" i="2"/>
  <c r="B192" i="2"/>
  <c r="D192" i="2"/>
  <c r="F192" i="2"/>
  <c r="E192" i="2"/>
  <c r="I192" i="2"/>
  <c r="H192" i="2"/>
  <c r="C192" i="2"/>
  <c r="J192" i="2"/>
  <c r="G192" i="2"/>
  <c r="I188" i="2"/>
  <c r="B188" i="2"/>
  <c r="J188" i="2"/>
  <c r="F188" i="2"/>
  <c r="C188" i="2"/>
  <c r="G188" i="2"/>
  <c r="D188" i="2"/>
  <c r="H188" i="2"/>
  <c r="E188" i="2"/>
  <c r="I44" i="3"/>
  <c r="E44" i="3"/>
  <c r="C44" i="3"/>
  <c r="B44" i="3"/>
  <c r="D44" i="3"/>
  <c r="J44" i="3"/>
  <c r="G44" i="3"/>
  <c r="F44" i="3"/>
  <c r="H44" i="3"/>
  <c r="C121" i="3"/>
  <c r="G121" i="3"/>
  <c r="D121" i="3"/>
  <c r="H121" i="3"/>
  <c r="B121" i="3"/>
  <c r="F121" i="3"/>
  <c r="I121" i="3"/>
  <c r="E121" i="3"/>
  <c r="J121" i="3"/>
  <c r="I72" i="3"/>
  <c r="F72" i="3"/>
  <c r="D72" i="3"/>
  <c r="B72" i="3"/>
  <c r="H72" i="3"/>
  <c r="J72" i="3"/>
  <c r="C72" i="3"/>
  <c r="G72" i="3"/>
  <c r="E72" i="3"/>
  <c r="H187" i="3"/>
  <c r="I187" i="3"/>
  <c r="C187" i="3"/>
  <c r="J187" i="3"/>
  <c r="E187" i="3"/>
  <c r="B187" i="3"/>
  <c r="F187" i="3"/>
  <c r="D187" i="3"/>
  <c r="G187" i="3"/>
  <c r="H191" i="3"/>
  <c r="I191" i="3"/>
  <c r="G191" i="3"/>
  <c r="J191" i="3"/>
  <c r="E191" i="3"/>
  <c r="D191" i="3"/>
  <c r="B191" i="3"/>
  <c r="F191" i="3"/>
  <c r="I20" i="4"/>
  <c r="C20" i="4"/>
  <c r="E20" i="4"/>
  <c r="B20" i="4"/>
  <c r="J20" i="4"/>
  <c r="D20" i="4"/>
  <c r="H20" i="4"/>
  <c r="F20" i="4"/>
  <c r="G20" i="4"/>
  <c r="H92" i="4"/>
  <c r="C92" i="4"/>
  <c r="G92" i="4"/>
  <c r="D92" i="4"/>
  <c r="B92" i="4"/>
  <c r="I92" i="4"/>
  <c r="E92" i="4"/>
  <c r="F92" i="4"/>
  <c r="J92" i="4"/>
  <c r="J121" i="4"/>
  <c r="D121" i="4"/>
  <c r="C121" i="4"/>
  <c r="G121" i="4"/>
  <c r="F121" i="4"/>
  <c r="H121" i="4"/>
  <c r="E121" i="4"/>
  <c r="I121" i="4"/>
  <c r="B121" i="4"/>
  <c r="G183" i="4"/>
  <c r="B183" i="4"/>
  <c r="D183" i="4"/>
  <c r="H183" i="4"/>
  <c r="I183" i="4"/>
  <c r="E183" i="4"/>
  <c r="C183" i="4"/>
  <c r="J183" i="4"/>
  <c r="F183" i="4"/>
  <c r="H187" i="4"/>
  <c r="F187" i="4"/>
  <c r="G187" i="4"/>
  <c r="C187" i="4"/>
  <c r="B187" i="4"/>
  <c r="I187" i="4"/>
  <c r="E187" i="4"/>
  <c r="D187" i="4"/>
  <c r="J187" i="4"/>
</calcChain>
</file>

<file path=xl/sharedStrings.xml><?xml version="1.0" encoding="utf-8"?>
<sst xmlns="http://schemas.openxmlformats.org/spreadsheetml/2006/main" count="3242" uniqueCount="1386">
  <si>
    <t>Категорія, укр</t>
  </si>
  <si>
    <t>Найменування українською</t>
  </si>
  <si>
    <t>Name</t>
  </si>
  <si>
    <t>Вартість</t>
  </si>
  <si>
    <t>Вартість, євро</t>
  </si>
  <si>
    <t>Вартість, злотий</t>
  </si>
  <si>
    <t>Артикул</t>
  </si>
  <si>
    <t>УКТЗЕД</t>
  </si>
  <si>
    <t>Штрих-код</t>
  </si>
  <si>
    <t>Опис українською</t>
  </si>
  <si>
    <t>Desription</t>
  </si>
  <si>
    <t>Opis</t>
  </si>
  <si>
    <t>Посилання, укр</t>
  </si>
  <si>
    <t>Link</t>
  </si>
  <si>
    <t>Odniesienie</t>
  </si>
  <si>
    <t>Форм-фактор, укр</t>
  </si>
  <si>
    <t>Form factor</t>
  </si>
  <si>
    <t>Współczynnik kształtu</t>
  </si>
  <si>
    <t>Розмір, DIN</t>
  </si>
  <si>
    <t>Струм/Потужність, укр</t>
  </si>
  <si>
    <t>Current/Power</t>
  </si>
  <si>
    <t>Prąd/moc</t>
  </si>
  <si>
    <t>Category</t>
  </si>
  <si>
    <t>Kategoria</t>
  </si>
  <si>
    <t>Вартість з 01.02.2023</t>
  </si>
  <si>
    <t>Вартість, євро з 01.02.2023</t>
  </si>
  <si>
    <t>Вартість, злотий з 01.02.2023</t>
  </si>
  <si>
    <t>ТРИФАЗНІ РЕЛЕ НАПРУГИ (КОНТРОЛЮ ФАЗ)</t>
  </si>
  <si>
    <t>РНПП-301</t>
  </si>
  <si>
    <t>RNPP-301</t>
  </si>
  <si>
    <t>NTRNP3010</t>
  </si>
  <si>
    <t>8536 49 00 90</t>
  </si>
  <si>
    <t>Послідовності, перекосу та обриву фаз, контроль пускача, роздільні регулювання порогів напруги та перекосу фаз</t>
  </si>
  <si>
    <t>Sequences, phase skew and break, starter control, separate regulation of voltage thresholds and phase skew</t>
  </si>
  <si>
    <t>Sekwencje, przesunięcie i przerwanie fazy, sterowanie rozrusznikiem, oddzielne ustawienia progu napięcia i przesunięcia fazy</t>
  </si>
  <si>
    <t>https://novatek-electro.com/product/trifazne-rele-naprugi-i-kontrolyu-faz-rnpp-301.html</t>
  </si>
  <si>
    <t>https://novatek-electro.com/en/product/three-phase-voltage-and-phase-control-relay-rnpp-301</t>
  </si>
  <si>
    <t>https://novatek-electro.com/pl/product/przekaznik-napieciowy-trojfazowy-rnpp-301</t>
  </si>
  <si>
    <t>DIN</t>
  </si>
  <si>
    <t>Пускач</t>
  </si>
  <si>
    <t>Contactor</t>
  </si>
  <si>
    <t>Stycznik</t>
  </si>
  <si>
    <t>Three-phase voltage relays</t>
  </si>
  <si>
    <t>Trójfazowe przekaźniki napięciowe</t>
  </si>
  <si>
    <t>РНПП-302</t>
  </si>
  <si>
    <t>RNPP-302</t>
  </si>
  <si>
    <t>NTRNP3020</t>
  </si>
  <si>
    <t>Послідовності, перекосу та обриву фаз, контроль пускача, індикація, налаштування часу роботи всіх видів захисту</t>
  </si>
  <si>
    <t>Sequences, phase skew and break, starter control, indication, adjustment of operating time of all types of protection</t>
  </si>
  <si>
    <t>Sekwencje, zniekształcenia i załamania faz, sterowanie rozrusznikiem, sygnalizacja, regulacja czasu działania wszystkich typów zabezpieczeń</t>
  </si>
  <si>
    <t>https://novatek-electro.com/product/trifazne-rele-naprugi-i-kontrolyu-faz-rnpp-302.html</t>
  </si>
  <si>
    <t>https://novatek-electro.com/en/product/rnpp-302-three-phase-voltage-and-phase-monitoring-relay</t>
  </si>
  <si>
    <t>https://novatek-electro.com/pl/product/przekaznik-napieciowy-trojfazowy-rnpp-302</t>
  </si>
  <si>
    <t>РНПП-302М1</t>
  </si>
  <si>
    <t>RNPP-302М1</t>
  </si>
  <si>
    <t>NTRNP302М</t>
  </si>
  <si>
    <t>https://novatek-electro.com/product/trifazne-rele-naprugi-i-kontrolyu-faz-r-2.html</t>
  </si>
  <si>
    <t>РНПП-311.1</t>
  </si>
  <si>
    <t>RNPP-311.1</t>
  </si>
  <si>
    <t>NTRNP3111</t>
  </si>
  <si>
    <t>Послідовності, перекосу та обриву фаз, регулювання тільки % номінальної напруги</t>
  </si>
  <si>
    <t>Sequences, phase skew and break, regulation of only % of rated voltage</t>
  </si>
  <si>
    <t>Sekwencje, przesunięcie i przerwanie fazy, regulacja tylko % napięcia znamionowego</t>
  </si>
  <si>
    <t>https://novatek-electro.com/product/rele-rnpp-311-1.html</t>
  </si>
  <si>
    <t>https://novatek-electro.com/en/product/voltage-phase-unbalance-and-sequence-relay-rnpp-311-1</t>
  </si>
  <si>
    <t>https://novatek-electro.com/pl/product/przekaznik-kontroli-napiecia-symetrii-i-kolejnosci-faz-rnpp-311-1</t>
  </si>
  <si>
    <t>РНПП-311М (Н)</t>
  </si>
  <si>
    <t>RNPP-311m</t>
  </si>
  <si>
    <t>NTRNP311M</t>
  </si>
  <si>
    <t>Аналог РНПП-311, регулювання часу АПВ та спрацювання, вкл/відкл захистів</t>
  </si>
  <si>
    <t>Analog of RNPP-311, regulation of time of AR and its operation, on / off of protections</t>
  </si>
  <si>
    <t>Analog RNPP-311, regulacja czasu i pracy APV, włączanie/wyłączanie zabezpieczeń</t>
  </si>
  <si>
    <t>https://novatek-electro.com/product/trifazne-rele-naprugi-i-kontrolyu-faz-rnpp-311m.html</t>
  </si>
  <si>
    <t>https://novatek-electro.com/en/product/rnpp-311m-three-phase-voltage-and-phase-monitoring-relay</t>
  </si>
  <si>
    <t>https://novatek-electro.com/pl/product/przekaznik-napieciowy-trojfazowy-rnpp-311m</t>
  </si>
  <si>
    <t>РНПП-311М (24V)</t>
  </si>
  <si>
    <t>RNPP-311m (24V)</t>
  </si>
  <si>
    <t>NTRNP311D</t>
  </si>
  <si>
    <t>Аналог РНПП-311, регулювання часу АПВ та спрацювання, вкл/відкл захистів, 24В DC</t>
  </si>
  <si>
    <t>Analog of RNPP-311, regulation of time of AR and its operation, on / off of protections, 24V DC</t>
  </si>
  <si>
    <t>Analog RNPP-311, regulacja czasu APV i pracy, załączanie/wyłączanie zabezpieczeń, 24V DC</t>
  </si>
  <si>
    <t>https://novatek-electro.com/product/trifazne-rele-naprugi-i-kontrolyu-faz-rnpp-311.html</t>
  </si>
  <si>
    <t>РНПП-312</t>
  </si>
  <si>
    <t>RNPP-312</t>
  </si>
  <si>
    <t>NTRNP3120</t>
  </si>
  <si>
    <t>Послідовності, перекосу та обриву фаз, одномодульний аналог РНПП-311М</t>
  </si>
  <si>
    <t>Sequences, phase skew and break, single-module analogue of RNPP-311M</t>
  </si>
  <si>
    <t>Sekwencje, skos i załamanie fazy, jednomodułowy analogowy RNPP-311M</t>
  </si>
  <si>
    <t>https://novatek-electro.com/product/rele-naprugi-perekosu-ta-poslidovnosti-faz-rnpp-312.html</t>
  </si>
  <si>
    <t>https://novatek-electro.com/en/product/voltage-phase-imbalance-and-sequence-relay-rnpp-312</t>
  </si>
  <si>
    <t>https://novatek-electro.com/pl/product/przekaznik-napiecia-symetrii-i-kolejnosci-faz-rnpp-312</t>
  </si>
  <si>
    <t xml:space="preserve">РНПП-313 </t>
  </si>
  <si>
    <t>RNPP-313</t>
  </si>
  <si>
    <t>NTRNP3130</t>
  </si>
  <si>
    <t>Послідовності, перекосу та обриву фаз, одномодульне, одне регулювання Toff, налаштування вшиті</t>
  </si>
  <si>
    <t xml:space="preserve">Sequences, phase skew and break, single-module, one adjustment Toff, sewn settings </t>
  </si>
  <si>
    <t>Załamanie kolejności, skosu i fazy, pojedynczy moduł, pojedyncza regulacja Toff, szyte ustawienia</t>
  </si>
  <si>
    <t>https://novatek-electro.com/product/rele-naprugi-perekosu-i-poslidovnost.html</t>
  </si>
  <si>
    <t>РНПП-314</t>
  </si>
  <si>
    <t>RNPP-314</t>
  </si>
  <si>
    <t>NTRNP3140</t>
  </si>
  <si>
    <t>Послідовності, перекосу та обриву фаз, вбудовані налаштування</t>
  </si>
  <si>
    <t>Sequence, skew and phase failure, built-in settings</t>
  </si>
  <si>
    <t>Sekwencje, skos i załamanie fazy, wbudowane ustawienia</t>
  </si>
  <si>
    <t>РНПП-316-500</t>
  </si>
  <si>
    <t>RNPP-316-500</t>
  </si>
  <si>
    <t>NTRNP3160</t>
  </si>
  <si>
    <t>Послідовності, перекосу та обриву фаз, роздільне регулювання Umin та Umax, аналог РНПП-311М</t>
  </si>
  <si>
    <t>Sequences, phase skew and break, separate regulation of Umin and Umax, analogue of RNPP-311M</t>
  </si>
  <si>
    <t>Sekwencje, skos i załamanie fazy, oddzielne sterowanie Umin i Umax, analogowe RNPP-311M</t>
  </si>
  <si>
    <t>https://novatek-electro.com/product/trifazne-rele-naprugi-i-kontrolyu-faz-r.html</t>
  </si>
  <si>
    <t>https://novatek-electro.com/pl/product/przekaznik-kontroli-napiecia-symetrii-i-kolejnosci-faz-rnpp-316-500</t>
  </si>
  <si>
    <t>РН-12</t>
  </si>
  <si>
    <t>RN-12</t>
  </si>
  <si>
    <t>NTRN12000</t>
  </si>
  <si>
    <t>Індикатор фаз</t>
  </si>
  <si>
    <t>Phase indicator</t>
  </si>
  <si>
    <t>Wskaźnik fazy</t>
  </si>
  <si>
    <t>https://novatek-electro.com/product/indikator-faz-rn-12.html</t>
  </si>
  <si>
    <t>https://novatek-electro.com/en/product/phase-indicator-rn-12</t>
  </si>
  <si>
    <t>https://novatek-electro.com/pl/product/wskaznik-faz-rn-12</t>
  </si>
  <si>
    <t>-</t>
  </si>
  <si>
    <t>РН-35</t>
  </si>
  <si>
    <t>RN-35</t>
  </si>
  <si>
    <t>Сzujnik kolejności faz</t>
  </si>
  <si>
    <t>https://novatek-electro.com/pl/product/czujnik-kolejnosci-faz-rn-35</t>
  </si>
  <si>
    <t>10А</t>
  </si>
  <si>
    <t>ТАЙМЕРИ</t>
  </si>
  <si>
    <t>РЕВ-225</t>
  </si>
  <si>
    <t>REV-225</t>
  </si>
  <si>
    <t>NTRV22500</t>
  </si>
  <si>
    <t>Астрономічний таймер одноканальний</t>
  </si>
  <si>
    <t xml:space="preserve">Single channel astronomical timer </t>
  </si>
  <si>
    <t>Zegar astronomiczny pojedynczy kanał</t>
  </si>
  <si>
    <t>https://novatek-electro.com/product/tajmer-rev-225.html</t>
  </si>
  <si>
    <t>https://novatek-electro.com/en/product/astronomical-timer-for-street-lighting-rev-225</t>
  </si>
  <si>
    <t>https://novatek-electro.com/pl/product/astronomiczny-zegar-programowalny-rev-225</t>
  </si>
  <si>
    <t>16А</t>
  </si>
  <si>
    <t>Timers</t>
  </si>
  <si>
    <t>Zegary</t>
  </si>
  <si>
    <t>РН-16ТM</t>
  </si>
  <si>
    <t>RN-16tm</t>
  </si>
  <si>
    <t>знятий з виробн.</t>
  </si>
  <si>
    <t>out of production</t>
  </si>
  <si>
    <t>wycofane z produkcji</t>
  </si>
  <si>
    <t>NTRV16TM0</t>
  </si>
  <si>
    <t>Добово-тижневий таймер + реле напруги + вбудоване фотореле</t>
  </si>
  <si>
    <t>Daily/week timer + voltage relay + built-in photorelay</t>
  </si>
  <si>
    <t>Zegar dzienny + przekaźnik napięciowy + wbudowany fotoprzekaźnik</t>
  </si>
  <si>
    <t>https://novatek-electro.com/product/universalne-rele-rn-16tm.html</t>
  </si>
  <si>
    <t>https://novatek-electro.com/en/product/rn-16tm-universal-relay</t>
  </si>
  <si>
    <t>https://novatek-electro.com/pl/product/tygodniowy-zegar-z-czujnikiem-swiatla-i-przekaznikiem-napieciowym-rn-16tm</t>
  </si>
  <si>
    <t>РЕВ-302</t>
  </si>
  <si>
    <t>REV-302</t>
  </si>
  <si>
    <t>NTRV30200</t>
  </si>
  <si>
    <t>Річний, місячний, тижневий, добовий таймер + реле напруги, виносне фотореле, 2 канали, налаштування ПК та Андроїд</t>
  </si>
  <si>
    <t>Annual, monthly, weekly, daily timer + voltage relay, remote photorelay, 2 channels, PC and Android settings</t>
  </si>
  <si>
    <t>Zegar roczny, miesięczny, tygodniowy, dzienny + przekaźnik napięciowy, zdalny fotoprzekaźnik, 2 kanały, ustawienia PC i Android</t>
  </si>
  <si>
    <t>https://novatek-electro.com/product/bagatofunktsionalnij-rele-rev-302.html</t>
  </si>
  <si>
    <t>https://novatek-electro.com/en/product/rev-302-multifunctional-relay</t>
  </si>
  <si>
    <t>https://novatek-electro.com/pl/product/zegar-programowalny-z-czujnikiem-swiatla-i-kontrola-napiecia-rev-302</t>
  </si>
  <si>
    <t>РЕВ-303</t>
  </si>
  <si>
    <t>REV-303</t>
  </si>
  <si>
    <t>NTRV30300</t>
  </si>
  <si>
    <t>Добово-тижневий, астрономічний одноканальний таймер</t>
  </si>
  <si>
    <t>Daily/weekly, astronomical single-channel timer</t>
  </si>
  <si>
    <t>Codzienny, tygodniowy, astronomiczny zegar jednokanałowy</t>
  </si>
  <si>
    <t>https://novatek-electro.com/product/timer-rev-303.html</t>
  </si>
  <si>
    <t>https://novatek-electro.com/en/product/programmable-multifunctional-timer-rev-303</t>
  </si>
  <si>
    <t>https://novatek-electro.com/pl/product/astronomiczny-zegar-programowalny-rev-303</t>
  </si>
  <si>
    <t>ЕМ-130</t>
  </si>
  <si>
    <t>EM-130</t>
  </si>
  <si>
    <t>NTRV13000</t>
  </si>
  <si>
    <t>8517 62 00 00</t>
  </si>
  <si>
    <t>Wi-Fi-таймер добово-тижневий та астрономічний, віддалене керування + ModBus</t>
  </si>
  <si>
    <t>Wi-Fi daily/weekly and astronomical timer, remote control + ModBus</t>
  </si>
  <si>
    <t>Timer Wi-Fi tygodniowy i astronomiczny, zdalne sterowanie + ModBus</t>
  </si>
  <si>
    <t>https://novatek-electro.com/product/programovaniy-astronomichniy-taymer.html</t>
  </si>
  <si>
    <t>https://novatek-electro.com/en/product/programmable-astronomical-timer-with-wi-fi-em-130</t>
  </si>
  <si>
    <t>https://novatek-electro.com/pl/product/programowalny-astronomiczny-timer-wi-fi-em-130</t>
  </si>
  <si>
    <t>7А</t>
  </si>
  <si>
    <t>РЕЛЕ ЧАСУ</t>
  </si>
  <si>
    <t>РЕВ-201</t>
  </si>
  <si>
    <t>REV-201</t>
  </si>
  <si>
    <t>NTREV2010</t>
  </si>
  <si>
    <t>Двоканальне реле затримки</t>
  </si>
  <si>
    <t>Two-channel delay relay</t>
  </si>
  <si>
    <t>Dwukanałowy przekaźnik opóźniający</t>
  </si>
  <si>
    <t>https://novatek-electro.com/product/dvokanalne-rele-chasu-rev-201.html</t>
  </si>
  <si>
    <t>https://novatek-electro.com/pl/product/2-kanalowy-przekaznik-czasowy-rev-201</t>
  </si>
  <si>
    <t>Time relay</t>
  </si>
  <si>
    <t>Regulator czasowy</t>
  </si>
  <si>
    <t>РЕВ-201М</t>
  </si>
  <si>
    <t>REV-201m</t>
  </si>
  <si>
    <t>NTREV201M</t>
  </si>
  <si>
    <t>Двоканальне реле затримки модернізоване, 7 програм</t>
  </si>
  <si>
    <t>Two-channel modernized delay relay, 7 programs</t>
  </si>
  <si>
    <t>Zmodernizowany dwukanałowy przekaźnik opóźniający, 7 programów</t>
  </si>
  <si>
    <t>https://novatek-electro.com/product/bagatofunktsionalnij-rele-chasu-rev-201m.html</t>
  </si>
  <si>
    <t>https://novatek-electro.com/en/product/rev-201m-multifunctional-time-relay</t>
  </si>
  <si>
    <t>https://novatek-electro.com/pl/product/wielofunkcyjny-przekaznik-czasowy-rev-201m</t>
  </si>
  <si>
    <t>РВ-123</t>
  </si>
  <si>
    <t>REV-123</t>
  </si>
  <si>
    <t>NTRV12300</t>
  </si>
  <si>
    <t>Просте реле часу, 1 регулювання, для вентиляції</t>
  </si>
  <si>
    <t>Simple timer, 1 adjustment, for ventilation</t>
  </si>
  <si>
    <t>Prosty timer, 1 regulacja, do wentylacji</t>
  </si>
  <si>
    <t>https://novatek-electro.com/product/rv-123.html</t>
  </si>
  <si>
    <t>РЕВ-114</t>
  </si>
  <si>
    <t>REV-114</t>
  </si>
  <si>
    <t>NTREV114A</t>
  </si>
  <si>
    <t>Реле часу, 17 програм, дисплей + клавіші, 220В AC</t>
  </si>
  <si>
    <t>Time relay, 17 programs, display + keys, 220V AC</t>
  </si>
  <si>
    <t>Przekaźnik czasowy, 17 programów, wyświetlacz + klawisze, 220V AC</t>
  </si>
  <si>
    <t>https://novatek-electro.com/product/rele-chasu-rev-114.html</t>
  </si>
  <si>
    <t>https://novatek-electro.com/en/product/time-relay-rev-114</t>
  </si>
  <si>
    <t>https://novatek-electro.com/pl/product/przekaznik-czasowy-rev-114</t>
  </si>
  <si>
    <t>6А</t>
  </si>
  <si>
    <t>РЕВ-114 24V</t>
  </si>
  <si>
    <t>REV-114 24V</t>
  </si>
  <si>
    <t>NTREV114D</t>
  </si>
  <si>
    <t>Реле часу, 17 програм, дисплей + клавіші, 24В DC</t>
  </si>
  <si>
    <t>Time relay, 17 programs, display + keys, 24V DC</t>
  </si>
  <si>
    <t>Przekaźnik czasowy, 17 programów, wyświetlacz + klawisze, 24V DC</t>
  </si>
  <si>
    <t>https://novatek-electro.com/product/rele-chasu-rev-114-24v.html</t>
  </si>
  <si>
    <t>РЕВ-114Н</t>
  </si>
  <si>
    <t>REV-114n</t>
  </si>
  <si>
    <t>NTREV114N</t>
  </si>
  <si>
    <t>Реле часу, 17 програм, дисплей + клавіші, універсальне живлення 24В DC та 220В AC</t>
  </si>
  <si>
    <t>Time relay, 17 programs, display + keys, universal power supply 24V DC and 220V AC</t>
  </si>
  <si>
    <t>Przekaźnik czasowy, 17 programów, wyświetlacz + klawisze, uniwersalne zasilanie 24V DC i 220V AC</t>
  </si>
  <si>
    <t>https://novatek-electro.com/product/rele-chasu-rev-114n.html</t>
  </si>
  <si>
    <t>https://novatek-electro.com/pl/product/przekaznik-czasowy-rev-114n</t>
  </si>
  <si>
    <t>РЕВ-120</t>
  </si>
  <si>
    <t>REV-120</t>
  </si>
  <si>
    <t>NTREV120A</t>
  </si>
  <si>
    <t>Реле часу, 10 програм, потенціометри, 220В AC</t>
  </si>
  <si>
    <t>Time relay, 10 programs, potentiometers, 220V AC</t>
  </si>
  <si>
    <t>Przekaźnik czasowy, 10 programów, potencjometry, 220V AC</t>
  </si>
  <si>
    <t>https://novatek-electro.com/product/rele-chasu-rev-120.html</t>
  </si>
  <si>
    <t>https://novatek-electro.com/en/product/time-relay-rev-120</t>
  </si>
  <si>
    <t>https://novatek-electro.com/pl/product/przekaznik-czasowy-rev-120</t>
  </si>
  <si>
    <t>РЕВ-120 24V</t>
  </si>
  <si>
    <t>REV-120 24V</t>
  </si>
  <si>
    <t>NTREV120D</t>
  </si>
  <si>
    <t>Реле часу, 10 програм, потенціометри, 24В DC</t>
  </si>
  <si>
    <t>Time relay, 10 programs, potentiometers, 24V DC</t>
  </si>
  <si>
    <t>Przekaźnik czasowy, 10 programów, potencjometry, 24V DC</t>
  </si>
  <si>
    <t>https://novatek-electro.com/product/rele-chasu-rev-120-24v.html</t>
  </si>
  <si>
    <t>РЕВ-120Н</t>
  </si>
  <si>
    <t>REV-120n</t>
  </si>
  <si>
    <t>NTREV120N</t>
  </si>
  <si>
    <t>Реле часу, 10 програм, потенціометри, універсальне живлення 24В DC та 220В AC</t>
  </si>
  <si>
    <t>Time relay, 10 programs, potentiometers, universal power supply 24V DC and 220V AC</t>
  </si>
  <si>
    <t>Przekaźnik czasowy, 10 programów, potencjometry, uniwersalne zasilanie 24V DC i 220V AC</t>
  </si>
  <si>
    <t>https://novatek-electro.com/product/rele-chasu-rev-120n.html</t>
  </si>
  <si>
    <t>ТК-415М</t>
  </si>
  <si>
    <t>TK-415m</t>
  </si>
  <si>
    <t>NTREV415M</t>
  </si>
  <si>
    <t>Послідовно-комбінаційне реле, 15 каналів, автоматизація процесів</t>
  </si>
  <si>
    <t>Sequential-combinational relay, 15 channels, process automation</t>
  </si>
  <si>
    <t>Przekaźnik szeregowo-kombinowany, 15 kanałów, automatyzacja procesu</t>
  </si>
  <si>
    <t>https://novatek-electro.com/product/bagatofunktsionalnij-tajmer-tk-415.html</t>
  </si>
  <si>
    <t>https://novatek-electro.com/en/product/sequential-and-combination-timer-tk-415</t>
  </si>
  <si>
    <t>https://novatek-electro.com/pl/product/zegar-sekwencyjno-kombinacyjny-tk-415</t>
  </si>
  <si>
    <t>ПЕРЕМИКАЧІ ФАЗ</t>
  </si>
  <si>
    <t>ПЕФ-301</t>
  </si>
  <si>
    <t>PEF-301</t>
  </si>
  <si>
    <t>NTPEF3010</t>
  </si>
  <si>
    <t>8536 90 95 00</t>
  </si>
  <si>
    <t>Перемикач фаз, пряме включення або пускачі</t>
  </si>
  <si>
    <t>Phase selector, direct connection/starters</t>
  </si>
  <si>
    <t>Przełącznik fazy, połączenie bezpośrednie lub styczniki</t>
  </si>
  <si>
    <t>https://novatek-electro.com/product/elektronnij-peremikach-faz-pef-301.html</t>
  </si>
  <si>
    <t>https://novatek-electro.com/en/product/universal-automatic-electronic-phase-switch-pef-301</t>
  </si>
  <si>
    <t>https://novatek-electro.com/pl/product/uniwersalny-automatyczny-elektroniczny-przelacznik-faz-pef-301</t>
  </si>
  <si>
    <t>Phase switches</t>
  </si>
  <si>
    <t>Przełączniki fazowe</t>
  </si>
  <si>
    <t>ПЕФ-319</t>
  </si>
  <si>
    <t>PEF-319</t>
  </si>
  <si>
    <t>NTPEF3190</t>
  </si>
  <si>
    <t>https://novatek-electro.com/product/elektronnij-peremikach-faz-pef-319.html</t>
  </si>
  <si>
    <t>https://novatek-electro.com/en/product/universal-automatic-electronic-phase-switch-pef-319</t>
  </si>
  <si>
    <t>https://novatek-electro.com/pl/product/uniwersalny-automatyczny-elektroniczny-przelacznik-faz-pef-319</t>
  </si>
  <si>
    <t>32А</t>
  </si>
  <si>
    <t>ПЕФ-320</t>
  </si>
  <si>
    <t>PEF-320</t>
  </si>
  <si>
    <t>NTPEF3200</t>
  </si>
  <si>
    <t>Перемикач фаз, пряме включення</t>
  </si>
  <si>
    <t>Phase selector, direct connection</t>
  </si>
  <si>
    <t>Przełącznik fazy, połączenie bezpośrednie</t>
  </si>
  <si>
    <t>https://novatek-electro.com/product/elektronniy-peremikach-faz-pef-320.html</t>
  </si>
  <si>
    <t>https://novatek-electro.com/en/product/universal-automatic-electronic-phase-switch-pef-320</t>
  </si>
  <si>
    <t>https://novatek-electro.com/pl/product/elektroniczny-przelacznik-faz-pef-320</t>
  </si>
  <si>
    <t>PEF-305</t>
  </si>
  <si>
    <t>https://novatek-electro.com/pl/product/automatyczny-przelacznik-faz-elektroniczny-pef-305</t>
  </si>
  <si>
    <t>БЛОКИ ЗАХИСТУ ЕЛЕКТРОДВИГУНІВ</t>
  </si>
  <si>
    <t>УБЗ-301 5-50 А</t>
  </si>
  <si>
    <t>UBZ-301 5-50 A</t>
  </si>
  <si>
    <t>NTBZ30105</t>
  </si>
  <si>
    <t>Захист по струму, напрузі, перевантаженню, перегріву двигуна, Т/С в комплекті</t>
  </si>
  <si>
    <t>Сurrent, voltage, overload protection, motor overheating protection, C /T included</t>
  </si>
  <si>
    <t>Ochrona przed prądem, napięciem, przeciążeniem, przegrzaniem silnika, T/C w zestawie</t>
  </si>
  <si>
    <t>https://novatek-electro.com/product/universalnij-blok-zakhistu-asinkhronnikh-elektrodviguniv-ubz-301-5-50.html</t>
  </si>
  <si>
    <t>https://novatek-electro.com/en/product/ubz-301-5-50-a-universal-electromotor-protection</t>
  </si>
  <si>
    <t>https://novatek-electro.com/pl/product/ubz-301-5-50a</t>
  </si>
  <si>
    <t>5-50А, Пускач (реле 16А)</t>
  </si>
  <si>
    <t>5-50А, Contactor</t>
  </si>
  <si>
    <t>5-50А, Stycznik</t>
  </si>
  <si>
    <t>Electric motors protection units</t>
  </si>
  <si>
    <t>Bloki ochrony silników elektrycznych</t>
  </si>
  <si>
    <t>УБЗ-301 10-100 А</t>
  </si>
  <si>
    <t>UBZ-301 10-100 A</t>
  </si>
  <si>
    <t>NTBZ30110</t>
  </si>
  <si>
    <t>https://novatek-electro.com/product/universalnij-blok-zakhistu-asinkhronnikh-elektrodviguniv-ubz-301-10-100.html</t>
  </si>
  <si>
    <t>https://novatek-electro.com/en/product/ubz-301-10-100a</t>
  </si>
  <si>
    <t>https://novatek-electro.com/pl/product/uniwersalny-modul-zabezpieczenia-ubz-301-10-100a</t>
  </si>
  <si>
    <t>10-100А, Пускач</t>
  </si>
  <si>
    <t>10-100А, Contactor</t>
  </si>
  <si>
    <t>10-100А, Stycznik</t>
  </si>
  <si>
    <t>УБЗ-301 63-630 А</t>
  </si>
  <si>
    <t>UBZ-301 63-630 A</t>
  </si>
  <si>
    <t>NTBZ30163</t>
  </si>
  <si>
    <t>https://novatek-electro.com/product/universalnij-blok-zakhistu-asinkhronnikh-elektrodviguniv-ubz-301-63-630.html</t>
  </si>
  <si>
    <t>https://novatek-electro.com/en/product/ubz-301-63-630a</t>
  </si>
  <si>
    <t>https://novatek-electro.com/pl/product/uniwersalny-modul-zabezpieczenia-ubz-301-63-630a</t>
  </si>
  <si>
    <t>63-630А, Пускач</t>
  </si>
  <si>
    <t>63-630А, Contactor</t>
  </si>
  <si>
    <t>63-630А, Stycznik</t>
  </si>
  <si>
    <t>УБЗ-301-01 5-50 А</t>
  </si>
  <si>
    <t>UBZ-301-01 5-50 A</t>
  </si>
  <si>
    <t>NTBZ30101</t>
  </si>
  <si>
    <t>Захист по струму, напрузі, перевантаженню, перегріву ліфтового двигуна, Т/С в комплекті</t>
  </si>
  <si>
    <t>Zabezpieczenie na prąd, napięcie, przeciążenie, przegrzanie silnika windy, T/S w zestawie</t>
  </si>
  <si>
    <t>https://novatek-electro.com/product/universalniy-blok-zakhistu-elektrod.html</t>
  </si>
  <si>
    <t>5-50А, Пускач</t>
  </si>
  <si>
    <t>УБЗ-302 (М)</t>
  </si>
  <si>
    <t>UBZ-302m</t>
  </si>
  <si>
    <t>NTBZ302M0</t>
  </si>
  <si>
    <t>Захист по струму, напрузі, перевантаженню, перегріву двигуна, Т/С вбудовані або зовнішні х/5 до 315 кВт, ModBus</t>
  </si>
  <si>
    <t>Сurrent, voltage, overload protection, motor overheating protection, C /T built-in or external x / 5 up to 315 kW, ModBus</t>
  </si>
  <si>
    <t>Zabezpieczenie prądowe, napięciowe, przeciążeniowe, przegrzanie silnika, T/S wbudowane lub zewnętrzne x/5 do 315 kW, ModBus</t>
  </si>
  <si>
    <t>https://novatek-electro.com/product/universalnij-blok-zakhistu-asinkhronnikh-elektrodviguniv-ubz-302.html</t>
  </si>
  <si>
    <t>https://novatek-electro.com/en/product/ubz-302-universal-unit-for-asynchronous-induction-electric-motors-protection</t>
  </si>
  <si>
    <t>https://novatek-electro.com/pl/product/uniwersalny-modul-zabezpieczenia-silnikow-asynchronicznych-ubz-302</t>
  </si>
  <si>
    <t>5-630А, Пускач</t>
  </si>
  <si>
    <t>5-630А, Contactor</t>
  </si>
  <si>
    <t>5-630А, Stycznik</t>
  </si>
  <si>
    <t>УБЗ-302-01</t>
  </si>
  <si>
    <t>UBZ-302-01</t>
  </si>
  <si>
    <t>NTBZ30201</t>
  </si>
  <si>
    <t>Захист по струму, напрузі, перевантаженню, перегріву ліфтового двигуна до 50 А, Т/С вбудовані, ModBus</t>
  </si>
  <si>
    <t>Сurrent, voltage, overload protection, elevator motor overheating protection up to 50 A, C /T  built-in, ModBus</t>
  </si>
  <si>
    <t>Ochrona przed prądem, napięciem, przeciążeniem, przegrzaniem silnika windy do 50 A, wbudowana T/S, ModBus</t>
  </si>
  <si>
    <t>https://novatek-electro.com/product/universalnij-blok-zakhistu-dvoshvidkisnikh-asinkhronnikh-elektrodviguniv-ubz-302-01.html</t>
  </si>
  <si>
    <t>https://novatek-electro.com/en/product/ubz-302-01</t>
  </si>
  <si>
    <t>https://novatek-electro.com/pl/product/modul-zabezpieczenia-silnikow-asynchronicznych-ubz-302-01</t>
  </si>
  <si>
    <t>УБЗ-302-02</t>
  </si>
  <si>
    <t>UBZ-302-02</t>
  </si>
  <si>
    <t>NTBZ30202</t>
  </si>
  <si>
    <t>Захист по струму, напрузі, перевантаженню, перегріву малопотужного двигуна від 0,25 кВт до 3,3 кВт, Т/С вбудовані, ModBus</t>
  </si>
  <si>
    <t>Сurrent, voltage, overload protection, low-power motor overheating protection from 0.25 kW to 3.3 kW, C /T built-in, ModBus</t>
  </si>
  <si>
    <t>Ochrona przed prądem, napięciem, przeciążeniem, przegrzaniem silnika małej mocy od 0,25 kW do 3,3 kW, wbudowany T/S, ModBus</t>
  </si>
  <si>
    <t>https://novatek-electro.com/product/universalniy-blok-zakhistu-ubz-302-02.html</t>
  </si>
  <si>
    <t>0,25кВт-3,3кВт, Пускач</t>
  </si>
  <si>
    <t>0,25kW-3,3kW, Contactor</t>
  </si>
  <si>
    <t>0,25kW-3,3kW, Stycznik</t>
  </si>
  <si>
    <t>УБЗ-305 (М)</t>
  </si>
  <si>
    <t>UBZ-305m</t>
  </si>
  <si>
    <t>NTBZ305M0</t>
  </si>
  <si>
    <t>Ном. струм до 315 кВт, Т/С в комплект не входять, лічильник мотто-годин та електроенергії, ж/к-екран, DIN-рейка, ModBus</t>
  </si>
  <si>
    <t>Nom. current up to 315 kW, C /T not included, motor hours and electricity meter, LCD screen, DIN rail, ModBus</t>
  </si>
  <si>
    <t>Prąd znamionowy do 315 kW, bez T/S, moto-zegar i licznik energii elektrycznej, ekran LCD, szyna DIN, ModBus</t>
  </si>
  <si>
    <t>https://novatek-electro.com/product/universalnyy-blok-zashhity-ubz-305.html</t>
  </si>
  <si>
    <t>https://novatek-electro.com/en/product/ubz-305-universal-electric-motor-protection-device</t>
  </si>
  <si>
    <t>https://novatek-electro.com/pl/product/modul-zabezpieczenia-silnikow-asynchronicznych-ubz-305</t>
  </si>
  <si>
    <t>УБЗ-304</t>
  </si>
  <si>
    <t>UBZ-304</t>
  </si>
  <si>
    <t>NTBZ30400</t>
  </si>
  <si>
    <t>Ном. струм до 315 кВт, Т/С в комплект не входять, лічильник мотто-годин та електроенергії, ж/к-екран, щитове виконання, ModBus</t>
  </si>
  <si>
    <t>Nom. current up to 315 kW, C /T not included, motor hours and electricity meter, LCD screen, panel version, ModBus</t>
  </si>
  <si>
    <t>Prąd znamionowy do 315 kW, bez T/S, moto-zegar i licznik energii elektrycznej, ekran LCD, wersja panelowa, ModBus</t>
  </si>
  <si>
    <t>https://novatek-electro.com/product/universalniy-blok-zakhistu-ubz-304.html</t>
  </si>
  <si>
    <t>https://novatek-electro.com/en/product/ubz-304-universal-electric-motor-protection-device</t>
  </si>
  <si>
    <t>https://novatek-electro.com/pl/product/modul-zabezpieczenia-silnikow-asynchronicznych-ubz-304</t>
  </si>
  <si>
    <t>Щит</t>
  </si>
  <si>
    <t>Panel</t>
  </si>
  <si>
    <t>УБЗ-306 (М)</t>
  </si>
  <si>
    <t>UBZ-306M</t>
  </si>
  <si>
    <t>NTBZ30600</t>
  </si>
  <si>
    <t>Ном. струм до 315 кВт, Т/С в комплект не входять, для станка - гойдалки ж/к-екран, DIN-рейка, ModBus</t>
  </si>
  <si>
    <t>Rated current up to 315 kW, C/T not included, LCD screen for swinging machine, DIN-rail, ModBus</t>
  </si>
  <si>
    <t>Nominalny prąd do 315 kW, bez T/C, do maszyny - huśtawka z ekranem, szyna DIN, ModBus</t>
  </si>
  <si>
    <t>УБЗ-115</t>
  </si>
  <si>
    <t>UBZ-115</t>
  </si>
  <si>
    <t>NTBZ11500</t>
  </si>
  <si>
    <t>Захист однофазних двигунів</t>
  </si>
  <si>
    <t>Protection of single-phase motors</t>
  </si>
  <si>
    <t>Ochrona silników jednofazowych</t>
  </si>
  <si>
    <t>https://novatek-electro.com/product/universalnij-blok-zakhistu-asinkhronnikh-elektrodviguniv-ubz-115.html</t>
  </si>
  <si>
    <t>https://novatek-electro.com/en/product/ubz-115</t>
  </si>
  <si>
    <t>Настінний</t>
  </si>
  <si>
    <t>Wall</t>
  </si>
  <si>
    <t>ściana</t>
  </si>
  <si>
    <t>25А</t>
  </si>
  <si>
    <t>ОБМЕЖУВАЧІ ПОТУЖНОСТІ</t>
  </si>
  <si>
    <t>ОМ-121</t>
  </si>
  <si>
    <t>OM-121</t>
  </si>
  <si>
    <t>NTOM12100</t>
  </si>
  <si>
    <t>Обмежувач потужності однофазний, ModBus</t>
  </si>
  <si>
    <t>Single-phase power limiter, ModBus</t>
  </si>
  <si>
    <t>Ogranicznik mocy jednofazowy, ModBus</t>
  </si>
  <si>
    <t>https://novatek-electro.com/product/obmezhuvach-potuzhnosti-om-121.html</t>
  </si>
  <si>
    <t>https://novatek-electro.com/pl/product/ogranicznik-mocy-z-miernikiem-parametrow-sieci-om-121</t>
  </si>
  <si>
    <t>14кВт</t>
  </si>
  <si>
    <t>14kW</t>
  </si>
  <si>
    <t>Power limiters</t>
  </si>
  <si>
    <t>Ograniczniki mocy</t>
  </si>
  <si>
    <t>ОМ-163</t>
  </si>
  <si>
    <t>OM-163</t>
  </si>
  <si>
    <t>NTOM16300</t>
  </si>
  <si>
    <t>Обмежувач потужності однофазний + реле напруги</t>
  </si>
  <si>
    <t>Single-phase power limiter + voltage relay</t>
  </si>
  <si>
    <t>Ogranicznik mocy jednofazowy + przekaźnik napięciowy</t>
  </si>
  <si>
    <t>https://novatek-electro.com/product/rele-obmezhennya-potuzhnosti-om-163.html</t>
  </si>
  <si>
    <t>https://novatek-electro.com/en/product/power-limit-relay-om-163</t>
  </si>
  <si>
    <t>https://novatek-electro.com/pl/product/przekaznik-ograniczenia-mocy-om-163</t>
  </si>
  <si>
    <t>63А</t>
  </si>
  <si>
    <t>ОМ-110</t>
  </si>
  <si>
    <t>OM-110</t>
  </si>
  <si>
    <t>NTOM11000</t>
  </si>
  <si>
    <t>Обмежувач потужності однофазний до 20 кВт, 2 групи навантажень</t>
  </si>
  <si>
    <t>Single-phase power limiter up to 20 kW, 2 groups of loads</t>
  </si>
  <si>
    <t>Ogranicznik mocy jednofazowy do 20 kW, 2 grupy obciążeń</t>
  </si>
  <si>
    <t>https://novatek-electro.com/product/rele-obmezhennya-potuzhnosti-om-110.html</t>
  </si>
  <si>
    <t>https://novatek-electro.com/en/product/om-110-power-limiting-relay</t>
  </si>
  <si>
    <t>https://novatek-electro.com/pl/product/jednofazowy-ogranicznik-mocy-om-110</t>
  </si>
  <si>
    <t>20кВт</t>
  </si>
  <si>
    <t>20kW</t>
  </si>
  <si>
    <t>ОМ-310</t>
  </si>
  <si>
    <t>OM-310</t>
  </si>
  <si>
    <t>NTOM31000</t>
  </si>
  <si>
    <t>Обмежувач потужності трифазний, вбудовані Т/С 2,5-30 кВт або зовнішні до 315 кВт, 2 групи навантажень, ModBus, функція моніторингу  параметрів</t>
  </si>
  <si>
    <t>Three-phase power limiter, built-in C /T 2,5-30 kW or external to 315 kW, 2 groups of loads, ModBus, function of parameters monitoring</t>
  </si>
  <si>
    <t>Ogranicznik mocy trójfazowy, wbudowany T/C 2,5-30 kW lub zewnętrzny do 315 kW, 2 grupy obciążeń, ModBus, funkcja monitorowania parametrów</t>
  </si>
  <si>
    <t>https://novatek-electro.com/product/rele-obmezhennya-potuzhnosti-om-310.html</t>
  </si>
  <si>
    <t>https://novatek-electro.com/en/product/om-310-power-limiting-relay</t>
  </si>
  <si>
    <t>https://novatek-electro.com/pl/product/trojfazowy-ogranicznik-mocy-om-310</t>
  </si>
  <si>
    <t>30кВт-450кВт</t>
  </si>
  <si>
    <t>30kW-450kW</t>
  </si>
  <si>
    <t>ОБМЕЖУВАЧІ СТРУМУ</t>
  </si>
  <si>
    <t>РМТ-101</t>
  </si>
  <si>
    <t>RMT-101</t>
  </si>
  <si>
    <t>NTRMT1010</t>
  </si>
  <si>
    <t>Реле максимального струму однофазне</t>
  </si>
  <si>
    <t>Single-phase current overload relay</t>
  </si>
  <si>
    <t>Przekaźnik maksymalnego prądu jest jednofazowy</t>
  </si>
  <si>
    <t>https://novatek-electro.com/product/rele-maksimalnogo-strumu-rmt-101.html</t>
  </si>
  <si>
    <t>https://novatek-electro.com/en/product/rmt-101</t>
  </si>
  <si>
    <t>https://novatek-electro.com/pl/product/ogranicznik-pradu-rmt-101</t>
  </si>
  <si>
    <t>100А, пускач</t>
  </si>
  <si>
    <t>100А, Contactor</t>
  </si>
  <si>
    <t>100А, Stycznik</t>
  </si>
  <si>
    <t>Current limiters</t>
  </si>
  <si>
    <t>Ograniczniki prądu</t>
  </si>
  <si>
    <t>РМТ-104</t>
  </si>
  <si>
    <t>RMT-104</t>
  </si>
  <si>
    <t>NTRMT1040</t>
  </si>
  <si>
    <t>https://novatek-electro.com/product/rele-maksimalnogo-strumu-rmt-104.html</t>
  </si>
  <si>
    <t>https://novatek-electro.com/en/product/pmt-104-overload-relay</t>
  </si>
  <si>
    <t>https://novatek-electro.com/pl/product/pmt-104</t>
  </si>
  <si>
    <t>400А, пускач</t>
  </si>
  <si>
    <t>400А, Contactor</t>
  </si>
  <si>
    <t>400А, Stycznik</t>
  </si>
  <si>
    <t>ТЕМПЕРАТУРНІ КОНТРОЛЕРИ</t>
  </si>
  <si>
    <t>МСК-102-14</t>
  </si>
  <si>
    <t>MCK-102-14</t>
  </si>
  <si>
    <t>NTMK10214</t>
  </si>
  <si>
    <t>9032 89 00 00</t>
  </si>
  <si>
    <t>Керування морозильними камерами, холодильними прилавками, панельне виконання</t>
  </si>
  <si>
    <t>Control of freezers, refrigerated counters, panel version</t>
  </si>
  <si>
    <t>Sterowanie mroźniami, ladami chłodniczymi, wykonaniem paneli</t>
  </si>
  <si>
    <t>https://novatek-electro.com/product/kontroler-keruvannya-temperaturnimi-priladami-msk-102-14.html</t>
  </si>
  <si>
    <t>https://novatek-electro.com/en/product/mck-102-14-temperature-controller</t>
  </si>
  <si>
    <t>https://novatek-electro.com/pl/product/moduly-sterowania-ukladow-chlodniczych-mck-102-14</t>
  </si>
  <si>
    <t>Панельный</t>
  </si>
  <si>
    <t>panel</t>
  </si>
  <si>
    <t>Temperature controllers</t>
  </si>
  <si>
    <t>Regulatory temperatury</t>
  </si>
  <si>
    <t>МСК-102-20</t>
  </si>
  <si>
    <t>MCK-102-20</t>
  </si>
  <si>
    <t>NTMK10220</t>
  </si>
  <si>
    <t>https://novatek-electro.com/product/kontroler-keruvannya-temperaturnimi-priladami-msk-102-20.html</t>
  </si>
  <si>
    <t>https://novatek-electro.com/en/product/mck-102-20-temperature-controller</t>
  </si>
  <si>
    <t>https://novatek-electro.com/pl/product/moduly-sterowania-ukladow-chlodniczych-mck-102-20</t>
  </si>
  <si>
    <t>МСК-301-52</t>
  </si>
  <si>
    <t>MCK-301-52</t>
  </si>
  <si>
    <t>NTMK30152</t>
  </si>
  <si>
    <t>Керування процесом зберігання та дозрівання фруктів в спеціальній камері</t>
  </si>
  <si>
    <t xml:space="preserve">Fruit storage and ripening in a special chamber control process </t>
  </si>
  <si>
    <t>Kontrola procesu przechowywania i dojrzewania owoców w specjalnej komorze</t>
  </si>
  <si>
    <t>https://novatek-electro.com/product/kontroler-keruvannya-temperaturnimi-priladami-msk-301-54.html</t>
  </si>
  <si>
    <t>https://novatek-electro.com/en/product/mck-301-54-temperature-controller</t>
  </si>
  <si>
    <t>https://novatek-electro.com/pl/product/sterownik-msk-301-54</t>
  </si>
  <si>
    <t>МСК-301-61</t>
  </si>
  <si>
    <t>MCK-301-61</t>
  </si>
  <si>
    <t>NTMK30161</t>
  </si>
  <si>
    <t>Для керування клімат-приборами в приміщенні</t>
  </si>
  <si>
    <t>For controlling indoor air conditioners</t>
  </si>
  <si>
    <t>Do sterowania klimatyzatorami wewnętrznymi</t>
  </si>
  <si>
    <t>https://novatek-electro.com/product/kontroler-keruvannya-temperaturnimi-priladami-msk-301-61.html</t>
  </si>
  <si>
    <t>https://novatek-electro.com/en/product/mck-301-61-temperature-controller</t>
  </si>
  <si>
    <t>https://novatek-electro.com/pl/product/sterownik-mck-301-61</t>
  </si>
  <si>
    <t>МСК-301-87</t>
  </si>
  <si>
    <t>MCK-301-87</t>
  </si>
  <si>
    <t>NTMK30183</t>
  </si>
  <si>
    <t>Температурний контролер для морозильних камер та прилавків</t>
  </si>
  <si>
    <t>Temperature controller for freezers and counters</t>
  </si>
  <si>
    <t>Regulator temperatury do zamrażarek i lad</t>
  </si>
  <si>
    <t>https://novatek-electro.com/product/kontroler-keruvannya-temperaturnimi-priladami-msk-301-85.html</t>
  </si>
  <si>
    <t>https://novatek-electro.com/pl/product/modul-sterowania-ukladow-chlodniczych-mck-301-85</t>
  </si>
  <si>
    <t>ТР-12-1</t>
  </si>
  <si>
    <t>TR-12-1</t>
  </si>
  <si>
    <t>NTTR12001</t>
  </si>
  <si>
    <t>Терморегулятор в розетку з реле напруги, датчик знизу, 10 см</t>
  </si>
  <si>
    <t>Socket temperature regulator with the voltage relay built-in, sensor is from the bottom side of device, 10 cm</t>
  </si>
  <si>
    <t>Regulator temperatury w gnieździe od przekaźnika napięciowego, czujnik od dołu, 10 cm</t>
  </si>
  <si>
    <t>https://novatek-electro.com/product/termoregulyator-tr-12.html</t>
  </si>
  <si>
    <t>https://novatek-electro.com/en/product/thermoregulator-tr-12</t>
  </si>
  <si>
    <t>https://novatek-electro.com/pl/product/termostat-tr-12</t>
  </si>
  <si>
    <t>вилка-розетка</t>
  </si>
  <si>
    <t>Socket</t>
  </si>
  <si>
    <t>gniazdo wtykowe</t>
  </si>
  <si>
    <t>ТР-12-2</t>
  </si>
  <si>
    <t>TR-12-2</t>
  </si>
  <si>
    <t>NTTR12002</t>
  </si>
  <si>
    <t>Терморегулятор в розетку з реле напруги, датчик знизу, 1,8 м</t>
  </si>
  <si>
    <t>Socket temperature regulator with the voltage relay built-in, sensor at the bottom, 1,8 m</t>
  </si>
  <si>
    <t>Regulator temperatury w gnieździe od przekaźnika napięciowego, czujnik od dołu 1,8 m</t>
  </si>
  <si>
    <t>ТР-12-3</t>
  </si>
  <si>
    <t>TR-12-3</t>
  </si>
  <si>
    <t>NTTR12003</t>
  </si>
  <si>
    <t>Терморегулятор в розетку з реле напруги, датчик зверху, 10 см</t>
  </si>
  <si>
    <t>Socket temperature regulator with the voltage relay built-in, sensor at the top, 10 cm</t>
  </si>
  <si>
    <t>Regulator temperatury w gnieździe od przekaźnika napięciowego, czujnik od góry, 10 cm</t>
  </si>
  <si>
    <t>ТР-101</t>
  </si>
  <si>
    <t>TR-101</t>
  </si>
  <si>
    <t>NTTR10100</t>
  </si>
  <si>
    <t>9025 19 20 90</t>
  </si>
  <si>
    <t>Температурне реле, 4 незалежних канали, режими нагріву/охолодження, індикація</t>
  </si>
  <si>
    <t>Temperature relay, 4 independent channels, heating / cooling modes, indication</t>
  </si>
  <si>
    <t>Przekaźnik temperatury, 4 niezależne kanały, tryby grzania/chłodzenia, wskazanie</t>
  </si>
  <si>
    <t>https://novatek-electro.com/product/tsifrove-temperaturne-rele-tr-101.html</t>
  </si>
  <si>
    <t>https://novatek-electro.com/en/product/digital-temperature-relay-tr-101</t>
  </si>
  <si>
    <t>https://novatek-electro.com/pl/product/cyfrowy-przekaznik-kontroli-temperatury-tr-101</t>
  </si>
  <si>
    <t>ТР-102</t>
  </si>
  <si>
    <t>TR-102</t>
  </si>
  <si>
    <t>NTTR10200</t>
  </si>
  <si>
    <t>Блок керування опаленням, 4 зони, керування за допомогою біметалічного датчика</t>
  </si>
  <si>
    <t>Heating control unit, 4 zones, control by means of the bimetallic sensor</t>
  </si>
  <si>
    <t>Sterownik ogrzewania, 4 strefy, sterowanie za pomocą czujnika bimetalicznego</t>
  </si>
  <si>
    <t>https://novatek-electro.com/product/blok-upravlinnya-opalennyam-tr-102.html</t>
  </si>
  <si>
    <t>https://novatek-electro.com/en/product/tr-102-digital-temperature-relay</t>
  </si>
  <si>
    <t>https://novatek-electro.com/pl/product/cyfrowy-przekaznik-kontroli-temperatury-tr-102</t>
  </si>
  <si>
    <t>ТР-103</t>
  </si>
  <si>
    <t>TR-103</t>
  </si>
  <si>
    <t>під замовлення</t>
  </si>
  <si>
    <t>on order</t>
  </si>
  <si>
    <t>na zamówienie</t>
  </si>
  <si>
    <t>NTTR10300</t>
  </si>
  <si>
    <t>Блок захисту сухих трансформаторів, 2 канали</t>
  </si>
  <si>
    <t>Protection unit for dry transformers, 2 channels</t>
  </si>
  <si>
    <t>Zabezpieczenie transformatora suchego, 2 tory</t>
  </si>
  <si>
    <t>5A</t>
  </si>
  <si>
    <t>ТР-100</t>
  </si>
  <si>
    <t>TR-100</t>
  </si>
  <si>
    <t>NTTR10000</t>
  </si>
  <si>
    <t>9032 10 20 00</t>
  </si>
  <si>
    <t>Блок захисту сухих трансформаторів, 4 канали, ModBus</t>
  </si>
  <si>
    <t>Dry-type transformer protection unit, 4 channels, ModBus</t>
  </si>
  <si>
    <t>Zabezpieczenie transformatora suchego, 4 kanały, ModBus</t>
  </si>
  <si>
    <t>https://novatek-electro.com/product/tsifrove-temperaturne-rele-tr-100.html</t>
  </si>
  <si>
    <t>https://novatek-electro.com/en/product/tr-100-digital-temperature-relay</t>
  </si>
  <si>
    <t>https://novatek-electro.com/pl/product/cyfrowy-przekaznik-kontroli-temperatury-tr-100</t>
  </si>
  <si>
    <t>ТР-100М</t>
  </si>
  <si>
    <t>TR-100m</t>
  </si>
  <si>
    <t>NTTR100M0</t>
  </si>
  <si>
    <t>https://novatek-electro.com/product/cifrove-temperaturne-rele-tr-100m.html</t>
  </si>
  <si>
    <t>https://novatek-electro.com/en/product/digital-temperature-relay-tr-100m</t>
  </si>
  <si>
    <t>https://novatek-electro.com/pl/product/cyfrowe-zabezpieczenie-temperaturowe-tr-100m</t>
  </si>
  <si>
    <t>osłona</t>
  </si>
  <si>
    <t>КОНТРОЛЕРИ НАСОСНОЇ СТАНЦІЇ/РЕЛЕ ТИСКУ</t>
  </si>
  <si>
    <t>МСК-107</t>
  </si>
  <si>
    <t>MCK-107</t>
  </si>
  <si>
    <t>NTMCK1070</t>
  </si>
  <si>
    <t>Реле рівня/ЕКМ, режими роботи - наповнення, дренаж. ModBus, індикація, пана робота з УБЗ-301</t>
  </si>
  <si>
    <t>Level / CPG relay, operating modes - filling, drainage. ModBus, indication, compatibility with UBZ-301</t>
  </si>
  <si>
    <t>Przekaźnik poziomu / ECM, tryby pracy - napełnianie, drenaż. ModBus, sygnalizacja, praca master z UBZ-301</t>
  </si>
  <si>
    <t>https://novatek-electro.com/product/kontroller-nasosnoy-stancii-msk-107.html</t>
  </si>
  <si>
    <t>https://novatek-electro.com/en/product/msk-107-pump-station-controller</t>
  </si>
  <si>
    <t>https://novatek-electro.com/pl/product/sterownik-przepompowni-mck-107</t>
  </si>
  <si>
    <t>Pump station / pressure relay controllers</t>
  </si>
  <si>
    <t>Sterowniki stacji pomp / przełączników ciśnieniowych</t>
  </si>
  <si>
    <t>МСК-108</t>
  </si>
  <si>
    <t>MCK-108</t>
  </si>
  <si>
    <t>NTMCK1080</t>
  </si>
  <si>
    <t>Реле рівня/ЕКМ, режими роботи - наповнення, дренаж</t>
  </si>
  <si>
    <t>Level / CPG relay, operating modes - filling, drainage</t>
  </si>
  <si>
    <t>Przekaźnik poziomu / ECM, tryby pracy - napełnianie, drenaż</t>
  </si>
  <si>
    <t>https://novatek-electro.com/product/kontroller-nasosnoy-stancii-msk-108.html</t>
  </si>
  <si>
    <t>https://novatek-electro.com/en/product/msk-108-pump-station-controller</t>
  </si>
  <si>
    <t>https://novatek-electro.com/pl/product/sterownik-przepompowni-mck-108</t>
  </si>
  <si>
    <t>РЕЄСТРАТОР ЕЛЕКТРИЧНИХ ПАРАМЕТРІВ</t>
  </si>
  <si>
    <t>РПМ-416</t>
  </si>
  <si>
    <t>RPM-416</t>
  </si>
  <si>
    <t>NTRPM4160</t>
  </si>
  <si>
    <t>9030 32 00 00</t>
  </si>
  <si>
    <t>Аналізатор якості електромережі, запис на карту, 21 канал, ModBus TCP, додаток на ПК</t>
  </si>
  <si>
    <t>Grid quality analyzer, SD card recording, 21 channels, ModBus TCP, PC app</t>
  </si>
  <si>
    <t>Analizator jakości sieci, zapis karty, kanał 21, ModBus TCP, aplikacja PC</t>
  </si>
  <si>
    <t>https://novatek-electro.com/product/reestrator-rpm-416.html</t>
  </si>
  <si>
    <t>https://novatek-electro.com/en/product/data-logger-rpm-416</t>
  </si>
  <si>
    <t>https://novatek-electro.com/pl/product/rejestrator-rpm-416</t>
  </si>
  <si>
    <t>Electrical parameters register</t>
  </si>
  <si>
    <t>Rejestrator parametrów elektrycznych</t>
  </si>
  <si>
    <t>Мобільна станція РПМ 100/5</t>
  </si>
  <si>
    <t>Mobile station RPM 100/5</t>
  </si>
  <si>
    <t>NTRPM4161</t>
  </si>
  <si>
    <t>Мобільна станція реєстрації параметрів електромережі на базі пристрою РПМ-416, готова до використання. Комплект: щит IP, автомат, РПМ-416, 3 трансформатори струму 100/5, зажими, UTP-кабель. Можлива оренда</t>
  </si>
  <si>
    <t>Set: IP board, automatic, RPM-416, 3 current transformers 100/5А, clamps, UTP-cable.</t>
  </si>
  <si>
    <t>Zestaw: płytka IP automat, RPM-416, 3 przekładniki prądowe 100/5А, zaciski, kabel UTP. Możliwy wynajem</t>
  </si>
  <si>
    <t>https://novatek-electro.com/product/mobilna-stanciya-reiestracii-parametriv-100/5.html</t>
  </si>
  <si>
    <t>Шафа</t>
  </si>
  <si>
    <t>Control panel</t>
  </si>
  <si>
    <t>panel sterowania</t>
  </si>
  <si>
    <t>100А</t>
  </si>
  <si>
    <t>100A</t>
  </si>
  <si>
    <t>Мобільна станція РПМ 200/5</t>
  </si>
  <si>
    <t>Mobile station RPM 200/5</t>
  </si>
  <si>
    <t>NTRPM4162</t>
  </si>
  <si>
    <t>Мобільна станція реєстрації параметрів електромережі на базі пристрою РПМ-416, готова до використання. Комплект: щит IP, автомат, РПМ-416, 3 трансформатори струму 200/5, зажими, UTP-кабель. Можлива оренда</t>
  </si>
  <si>
    <t>Set: IP board, automatic, RPM-416, 3 current transformers 200/5А, clamps, UTP-cable.</t>
  </si>
  <si>
    <t>Zestaw: płytka IP automat, RPM-416, 3 przekładniki prądowe 200/5А, zaciski, kabel UTP. Możliwy wynajem</t>
  </si>
  <si>
    <t>https://novatek-electro.com/product/mobilna-stanciya-reiestracii-parametriv-200/5.html</t>
  </si>
  <si>
    <t>200А</t>
  </si>
  <si>
    <t>200A</t>
  </si>
  <si>
    <t>Мобільна станція РПМ 400/5</t>
  </si>
  <si>
    <t>Mobile station RPM 400/5</t>
  </si>
  <si>
    <t>NTRPM4164</t>
  </si>
  <si>
    <t>Мобільна станція реєстрації параметрів електромережі на базі пристрою РПМ-416, готова до використання. Комплект: щит IP, автомат, РПМ-416, 3 трансформатори струму 400/5, зажими, UTP-кабель. Можлива оренда</t>
  </si>
  <si>
    <t>Set: IP board, automatic, RPM-416, 3 current transformers 400/5А, clamps, UTP-cable.</t>
  </si>
  <si>
    <t>Zestaw: płytka IP automat, RPM-416, 3 przekładniki prądowe 400/5А, zaciski, kabel UTP. Możliwy wynajem</t>
  </si>
  <si>
    <t>https://novatek-electro.com/product/mobilna-stanciya-reiestracii-parametriv-400/5.html</t>
  </si>
  <si>
    <t>400А</t>
  </si>
  <si>
    <t>400A</t>
  </si>
  <si>
    <t>Мобільна станція РПМ 800/5</t>
  </si>
  <si>
    <t>Mobile station RPM 800/5</t>
  </si>
  <si>
    <t>NTRPM4168</t>
  </si>
  <si>
    <t>Мобільна станція реєстрації параметрів електромережі на базі пристрою РПМ-416, готова до використання. Комплект: щит IP, автомат, РПМ-416, 3 трансформатори струму 800/5, зажими, UTP-кабель. Можлива оренда</t>
  </si>
  <si>
    <t>Set: IP board, automatic, RPM-416, 3 current transformers 800/5А, clamps, UTP-cable.</t>
  </si>
  <si>
    <t>Zestaw: płytka IP automat, RPM-416, 3 przekładniki prądowe 800/5А, zaciski, kabel UTP. Możliwy wynajem</t>
  </si>
  <si>
    <t>https://novatek-electro.com/product/mobilna-stanciya-reiestracii-parametriv-800/5.html</t>
  </si>
  <si>
    <t>800А</t>
  </si>
  <si>
    <t>800A</t>
  </si>
  <si>
    <t>КОМПЕНСАТОР РЕАКТИВНОЇ ПОТУЖНОСТІ</t>
  </si>
  <si>
    <t>КРМ-136</t>
  </si>
  <si>
    <t>KRM-136</t>
  </si>
  <si>
    <t>NTKRM1360</t>
  </si>
  <si>
    <t>8537 10 91 00</t>
  </si>
  <si>
    <t>Контроле реактивної потужності, 6 "банок" (не входять в комплект)</t>
  </si>
  <si>
    <t>Reactive power controller, 6 "cans" (not included)</t>
  </si>
  <si>
    <t>Kontrola mocy biernej, 6 "puszki" (brak w zestawie)</t>
  </si>
  <si>
    <t>https://novatek-electro.com/product/kontroler-reaktivnoi-potuzhnosti-krm-136.html</t>
  </si>
  <si>
    <t>Reactive power compensator</t>
  </si>
  <si>
    <t>Kompensator mocy biernej</t>
  </si>
  <si>
    <t>ПРИСТРІЙ ПОПЕР. КОНТРОЛЮ ОПОРУ ІЗОЛ.</t>
  </si>
  <si>
    <t>ППКСИ</t>
  </si>
  <si>
    <t>PCIR</t>
  </si>
  <si>
    <t>NTPPKSI00</t>
  </si>
  <si>
    <t>9030 33 20 00</t>
  </si>
  <si>
    <t>Пристрій попереднього контролю опору ізоляції</t>
  </si>
  <si>
    <t>Preliminary control of insulation resistance</t>
  </si>
  <si>
    <t>Urządzenie do kontroli wstępnej rezystancji izolacji</t>
  </si>
  <si>
    <t>https://novatek-electro.com/product/prilad-poperednogo-kontrolyu-oporu-i.html</t>
  </si>
  <si>
    <t>Інше</t>
  </si>
  <si>
    <t>Other</t>
  </si>
  <si>
    <t>inne</t>
  </si>
  <si>
    <t>Блок подільників до ППКСИ</t>
  </si>
  <si>
    <t>Block divider to PCIR</t>
  </si>
  <si>
    <t>NTPPKSI01</t>
  </si>
  <si>
    <t>Блок подільників</t>
  </si>
  <si>
    <t>Block divider</t>
  </si>
  <si>
    <t>Blok dzielników</t>
  </si>
  <si>
    <t>ДАТЧИКИ ТЕМПЕРАТУРИ</t>
  </si>
  <si>
    <t>NTC к МСК-102</t>
  </si>
  <si>
    <t>NTC to MSK-102</t>
  </si>
  <si>
    <t>NTNTC10KB</t>
  </si>
  <si>
    <t>9025 90 00 98</t>
  </si>
  <si>
    <t>Датчик температури NTC 10 кОм -40°С / +125°С</t>
  </si>
  <si>
    <t>Temperature sensor NTC 10 kOhm -40°С / +125°С</t>
  </si>
  <si>
    <t>Czujnik temperatury NTC 10 kOhm -40°С / +125°С</t>
  </si>
  <si>
    <t>https://novatek-electro.com/product/datchik-temperaturi-ntc.html</t>
  </si>
  <si>
    <t>https://novatek-electro.com/pl/product/czujnik-temperatury-ntc</t>
  </si>
  <si>
    <t>Temperature sensors</t>
  </si>
  <si>
    <t>Czujniki temperatury</t>
  </si>
  <si>
    <t>PTC к МСК-301</t>
  </si>
  <si>
    <t>PTC to MSK-301</t>
  </si>
  <si>
    <t>NTPTC1000</t>
  </si>
  <si>
    <t>Датчик температури PTC -55°С / +100°С</t>
  </si>
  <si>
    <t>Temperature sensor PTC -55°С / +100°С</t>
  </si>
  <si>
    <t>Czujnik temperatury PTC -55°С / +100°С</t>
  </si>
  <si>
    <t>https://novatek-electro.com/product/datchik-temperaturi-ptc-1000.html</t>
  </si>
  <si>
    <t>https://novatek-electro.com/pl/product/czujnik-temperatury-ptc-1000</t>
  </si>
  <si>
    <t>NTC к МСК-301-5</t>
  </si>
  <si>
    <t>NTC to MSK-301-5</t>
  </si>
  <si>
    <t>NTNTC10KA</t>
  </si>
  <si>
    <t>Датчик температури, голчастий для фруктів -10°С / +80°С</t>
  </si>
  <si>
    <t>Temperature sensor, needle for fruit -10 ° C / + 80 ° C</t>
  </si>
  <si>
    <t>Czujnik temperatury, igła do owoców -10°C / +80°C</t>
  </si>
  <si>
    <t>https://novatek-electro.com/product/datchik-temperaturi-ntc-golchastiy.html</t>
  </si>
  <si>
    <t>https://novatek-electro.com/pl/product/czujnik-temperatury-ntc-igla</t>
  </si>
  <si>
    <t>РТ-100 к ТР-100</t>
  </si>
  <si>
    <t>PT-100 to TP-100</t>
  </si>
  <si>
    <t>NTPT100L3</t>
  </si>
  <si>
    <t>Датчик температури РТ-100 -60°С / +150°С</t>
  </si>
  <si>
    <t>Temperature sensor PT-100 -60 ° C / + 150 ° C</t>
  </si>
  <si>
    <t>Czujnik temperatury RT-100 -60°С / +150°С</t>
  </si>
  <si>
    <t>https://novatek-electro.com/product/datchik-temperaturi-pt-100.html</t>
  </si>
  <si>
    <t>https://novatek-electro.com/pl/product/czujnik-temperatury-pt-100</t>
  </si>
  <si>
    <t>MCK-33</t>
  </si>
  <si>
    <t>Wyłącznik zmierzchowy</t>
  </si>
  <si>
    <t>https://novatek-electro.com/pl/product/wylacznik-zmierzchowy-mck-33</t>
  </si>
  <si>
    <t>МОДУЛІ ВВОДУ-ВИВОДУ</t>
  </si>
  <si>
    <t>ОВ-215</t>
  </si>
  <si>
    <t>OB-215</t>
  </si>
  <si>
    <t>NTOV215IO</t>
  </si>
  <si>
    <t>Модуль вводу-виводу одноканальний, 4 режими роботи, 5 типів датчиків, Modbus (вихідне виконавче реле), TTL - Modbus конвертер</t>
  </si>
  <si>
    <t>Single-channel I / O module, 4 operating modes, 5 types of sensors, Modbus (output executive relay), TTL - Modbus converter</t>
  </si>
  <si>
    <t>Jednokanałowy moduł I/O, 4 tryby pracy, 5 typów czujników, Modbus (wyjściowy przekaźnik wykonawczy), TTL - konwerter Modbus</t>
  </si>
  <si>
    <t>https://novatek-electro.com/product/modul-vvodu-vivodu-cifroviy-ob-215.html</t>
  </si>
  <si>
    <t>https://novatek-electro.com/en/product/ob-215-digital-single-channel-i-o-module</t>
  </si>
  <si>
    <t>https://novatek-electro.com/pl/product/programowalny-sterownik-logiczny-plc-ov-215</t>
  </si>
  <si>
    <t>8А</t>
  </si>
  <si>
    <t>I/O modules</t>
  </si>
  <si>
    <t>Moduły we/wy</t>
  </si>
  <si>
    <t>ОВ-216</t>
  </si>
  <si>
    <t>OB-216</t>
  </si>
  <si>
    <t>NTOV216IO</t>
  </si>
  <si>
    <t>Модуль вводу-виводу одноканальний4 режими роботи, 5 типів датчиків, Modbus (вихідний сигнал 0-10, 4-20 мА), TTL - Modbus конвертер</t>
  </si>
  <si>
    <t>Single-channel I / O module, 4 operating modes, 5 types of sensors, Modbus (output signal 0-10, 4-20 mA), TTL - Modbus converter</t>
  </si>
  <si>
    <t>Moduł I/O jednokanałowy 4 tryby pracy, 5 typów czujników, Modbus (sygnał wyjściowy 0-10, 4-20 mA), TTL - konwerter Modbus</t>
  </si>
  <si>
    <t>https://novatek-electro.com/product/modul-vvodu-vivodu-cifroviy-ob-216.html</t>
  </si>
  <si>
    <t>https://novatek-electro.com/en/product/ob-216-digital-single-channel-i-o-module</t>
  </si>
  <si>
    <t>https://novatek-electro.com/pl/product/programowalny-sterownik-logiczny-plc-ov-216</t>
  </si>
  <si>
    <t>MODBUS-КОНТРОЛЕРИ WEB-ДОСТУПУ</t>
  </si>
  <si>
    <t>ЕМ-481</t>
  </si>
  <si>
    <t>EM-481</t>
  </si>
  <si>
    <t>NTEM48100</t>
  </si>
  <si>
    <t>3G GSM модуль, вхід Ethernеt (з безкоштовним хмарним сервісом моніторингу)</t>
  </si>
  <si>
    <t>3G GSM module, Ethernet input (with free cloud monitoring service)</t>
  </si>
  <si>
    <t>Moduł 3G GSM, wejście Eternalet (z bezpłatną usługą monitorowania chmury)</t>
  </si>
  <si>
    <t>https://novatek-electro.com/product/kontroler-em-481.html</t>
  </si>
  <si>
    <t>https://novatek-electro.com/en/product/rs-485-interface-controller-em-481</t>
  </si>
  <si>
    <t>https://novatek-electro.com/pl/product/em-481-sterownik-interfejsu-rs-485</t>
  </si>
  <si>
    <t>ModBus WEB access controllers</t>
  </si>
  <si>
    <t>Kontrolery dostępu ModBus WEB</t>
  </si>
  <si>
    <t>ЕМ-486</t>
  </si>
  <si>
    <t>EM-486</t>
  </si>
  <si>
    <t>NTEM48600</t>
  </si>
  <si>
    <t>2G GSM модуль, вхід Ethernеt, 4 входу, 3 реле (з безкоштовним хмарним сервісом моніторингу)</t>
  </si>
  <si>
    <t>2G GSM module, Ethernet input, 4 inputs, 3 relays (with free cloud monitoring service)</t>
  </si>
  <si>
    <t>Moduł 2G GSM, wejście Eternalet, 4 wejścia, 3 przekaźniki (z bezpłatną usługą monitorowania chmury)</t>
  </si>
  <si>
    <t>https://novatek-electro.com/product/kontroler-interfeysu-modbus-rs-486.html</t>
  </si>
  <si>
    <t>https://novatek-electro.com/en/product/controller-of-sms-alert-for-modbus-equipment-em-486-failure</t>
  </si>
  <si>
    <t>https://novatek-electro.com/pl/product/sterownik-em-486-do-sms-owego-systemu-powiadamiania-o-awariach-urzadzen-modbus</t>
  </si>
  <si>
    <t>ЕМ-482</t>
  </si>
  <si>
    <t>EM-482</t>
  </si>
  <si>
    <t>NTEM48200</t>
  </si>
  <si>
    <t>Wi-Fi - RS-485 (з безкоштовним хмарним сервісом моніторингу, та з виносною антеною)</t>
  </si>
  <si>
    <t>Wi-Fi - RS-485 (with free cloud monitoring service, and remote antenna)</t>
  </si>
  <si>
    <t>Wi-Fi - RS-485 (z bezpłatną usługą monitorowania chmury i zdalną anteną)</t>
  </si>
  <si>
    <t>https://novatek-electro.com/product/kontroler-web-dostupu-z-wi-fi-em-482.html</t>
  </si>
  <si>
    <t>https://novatek-electro.com/en/product/wi-fi-controller-of-web-access-em-482</t>
  </si>
  <si>
    <t>https://novatek-electro.com/pl/product/sterownik-alarmowego-sms-powiadomienia-wi-fi-em-482</t>
  </si>
  <si>
    <t>ЕМ-482-1</t>
  </si>
  <si>
    <t>EM-482-1</t>
  </si>
  <si>
    <t>NTEM48201</t>
  </si>
  <si>
    <t>https://novatek-electro.com/product/kontroler-web-dostupu-z-wi-fi-em-482.htmll</t>
  </si>
  <si>
    <t>ЕМ-483</t>
  </si>
  <si>
    <t>EM-483</t>
  </si>
  <si>
    <t>NTEM48300</t>
  </si>
  <si>
    <t>Перетворювач інтерфейсів Modbus RTU / ASCII (RS-485) - Modbus TCP (Ethernet)</t>
  </si>
  <si>
    <t>Modbus RTU / ASCII interface converter (RS-485) - Modbus TCP (Ethernet)</t>
  </si>
  <si>
    <t>Konwerter interfejsu Modbus RTU / ASCII (RS-485) - Modbus TCP (Ethernet)</t>
  </si>
  <si>
    <t>https://novatek-electro.com/product/peretvoryuvach-interfeysu-em-483.html</t>
  </si>
  <si>
    <t>https://novatek-electro.com/pl/product/konwerter-interfejsu-em-483</t>
  </si>
  <si>
    <t>ET-485</t>
  </si>
  <si>
    <t>NTET4850A</t>
  </si>
  <si>
    <t>https://novatek-electro.com/product/peretvoryuvach-interfejsiv-et-485.html</t>
  </si>
  <si>
    <t>https://novatek-electro.com/en/product/protocol-converter-et-485</t>
  </si>
  <si>
    <t>https://novatek-electro.com/pl/product/konwerter-interfejsow-et-485</t>
  </si>
  <si>
    <t>ET-485 24V</t>
  </si>
  <si>
    <t>NTET4850D</t>
  </si>
  <si>
    <t>https://novatek-electro.com/product/peretvoryuvach-interfeysiv-et-485-24v.html</t>
  </si>
  <si>
    <t>OPCB-221</t>
  </si>
  <si>
    <t>Перетворювач MODBUS RTU/TCP.</t>
  </si>
  <si>
    <t>https://novatek-electro.com/product/opcb-221.html</t>
  </si>
  <si>
    <t>БЛОК АВТОМАТИЧНОГО ВВОДУ РЕЗЕРВУ</t>
  </si>
  <si>
    <t>ПЕФ-321АВР</t>
  </si>
  <si>
    <t>PEF-321avr</t>
  </si>
  <si>
    <t>NTPEF321R</t>
  </si>
  <si>
    <t>Трифазний блок АВР (2 трифазних вводи, або 1 трифазний вводи і генератор), Modbus, індикація напруги на вводах. Віддалений запуск генератора, прогрів</t>
  </si>
  <si>
    <t>Three-phase ATS unit (2 three-phase inputs, or 1 three-phase input and generator), Modbus, voltage indication at the inputs. Remote generator start, warm-up</t>
  </si>
  <si>
    <t>Trójfazowa jednostka AVR (2 wejścia trójfazowe lub 1 wejście trójfazowe i generator), Modbus, wskazanie napięcia na wejściach. Zdalne uruchamianie generatora, rozgrzewanie</t>
  </si>
  <si>
    <t>https://novatek-electro.com/product/trifazniy-blok-avr-pyef-321avr.html</t>
  </si>
  <si>
    <t>https://novatek-electro.com/en/product/universal-automatic-electronic-phase-switch-pef-321</t>
  </si>
  <si>
    <t>https://novatek-electro.com/pl/product/sterownik-samoczynnego-zalaczania-rezerwy-pef-321abp</t>
  </si>
  <si>
    <t>5А, Пускач</t>
  </si>
  <si>
    <t>5А, Contactor</t>
  </si>
  <si>
    <t>5А, Stycznik</t>
  </si>
  <si>
    <t>Automatic transfer switch unit</t>
  </si>
  <si>
    <t>Blok automatycznego wprowadzania rezerwy</t>
  </si>
  <si>
    <t>РОЗ'ЄМНІ ТРАНСФОРМАТОРИ СТРУМУ</t>
  </si>
  <si>
    <t>SCT-T24 100/5</t>
  </si>
  <si>
    <t>NTTT100X5</t>
  </si>
  <si>
    <t>8504 33 00 90</t>
  </si>
  <si>
    <t>Трансформатор струму роз'ємний, 100/5</t>
  </si>
  <si>
    <t>Detachable current transformer, 100/5</t>
  </si>
  <si>
    <t>Odłączany transformator prądu, 100/5</t>
  </si>
  <si>
    <t>https://novatek-electro.com/product/vimiryuvalniy-transformator-strumu-100-5.html</t>
  </si>
  <si>
    <t>https://novatek-electro.com/pl/product/przekladnik-pradowy-sct-t24-100a-5a</t>
  </si>
  <si>
    <t>Detachable current transformers</t>
  </si>
  <si>
    <t>Odłączane przekładniki prądowe</t>
  </si>
  <si>
    <t>SCT-T24 200/5</t>
  </si>
  <si>
    <t>NTTT200X5</t>
  </si>
  <si>
    <t>Трансформатор струму роз'ємний, 200/5</t>
  </si>
  <si>
    <t>Detachable current transformer, 200/5</t>
  </si>
  <si>
    <t>Odłączany transformator prądu, 200/5</t>
  </si>
  <si>
    <t>https://novatek-electro.com/product/vimiryuvalniy-transformator-strumu-200-5.html</t>
  </si>
  <si>
    <t>https://novatek-electro.com/pl/product/przekladnik-pradowy-sct-t24-200a-5a</t>
  </si>
  <si>
    <t>SCT-T36 400/5</t>
  </si>
  <si>
    <t>NTTT400X5</t>
  </si>
  <si>
    <t>Трансформатор струму роз'ємний, 400/5</t>
  </si>
  <si>
    <t>Detachable current transformer, 400/5</t>
  </si>
  <si>
    <t>Odłączany transformator prądu, 400/5</t>
  </si>
  <si>
    <t>https://novatek-electro.com/product/vimiryuvalniy-transformator-strumu-400-5.html</t>
  </si>
  <si>
    <t>https://novatek-electro.com/pl/product/przekladnik-pradowy-sct-t24-400a-5a</t>
  </si>
  <si>
    <t>SCT-TXX 600/5</t>
  </si>
  <si>
    <t>NTTT600X5</t>
  </si>
  <si>
    <t>Трансформатор струму роз'ємний, 600/5</t>
  </si>
  <si>
    <t>Detachable current transformer, 600/5</t>
  </si>
  <si>
    <t>Odłączany transformator prądu, 600/5</t>
  </si>
  <si>
    <t>https://novatek-electro.com/product/vimiryuvalniy-transformator-strumu-600-5.html</t>
  </si>
  <si>
    <t>SCT-T50 800/5</t>
  </si>
  <si>
    <t>NTTT800X5</t>
  </si>
  <si>
    <t>Трансформатор струму роз'ємний, 800/5</t>
  </si>
  <si>
    <t>Detachable current transformer, 800/5</t>
  </si>
  <si>
    <t>Odłączany transformator prądu, 800/5</t>
  </si>
  <si>
    <t>https://novatek-electro.com/product/vimiryuvalniy-transformator-strumu-800-5.html</t>
  </si>
  <si>
    <t>https://novatek-electro.com/pl/product/przekladnik-pradowy-sct-t24-800a-5a</t>
  </si>
  <si>
    <t>ОБМЕЖУВАЧІ ПЕРЕНАПРУГИ (ОПН)</t>
  </si>
  <si>
    <t>OPN-M 10kA</t>
  </si>
  <si>
    <t>OPN-M 10KA</t>
  </si>
  <si>
    <t>NTOPNC103</t>
  </si>
  <si>
    <t>8536 30 90 00</t>
  </si>
  <si>
    <t>1 модуль 380В; In: 10kA, картридж змінний</t>
  </si>
  <si>
    <t>1 380V module; In: 10kA, replaceable cartridge</t>
  </si>
  <si>
    <t>1 moduł 380V; W: 10kA, wkład wymienny</t>
  </si>
  <si>
    <t>https://novatek-electro.com/product/kartridzh-zminniy-opn-m.html</t>
  </si>
  <si>
    <t>https://novatek-electro.com/pl/product/wymienny-wklad-opn-m</t>
  </si>
  <si>
    <t>Overvoltage limiters (OPN)</t>
  </si>
  <si>
    <t>Ograniczniki przepięć (ograniczniki przepięć)</t>
  </si>
  <si>
    <t>OPN-M 30kA</t>
  </si>
  <si>
    <t>OPN-M 30KA</t>
  </si>
  <si>
    <t>NTOPNC303</t>
  </si>
  <si>
    <t>1 модуль 380В; In: 30kA, картридж змінний</t>
  </si>
  <si>
    <t>1 380V module; In: 30kA, replaceable cartridge</t>
  </si>
  <si>
    <t>1 moduł 380V; W: 30kA, wkład wymienny</t>
  </si>
  <si>
    <t>N-PE</t>
  </si>
  <si>
    <t>NTOPNCNPE</t>
  </si>
  <si>
    <t>1 модуль 220В; In: 20kA, картридж змінний N-PE</t>
  </si>
  <si>
    <t>1 220V module; In: 20kA, replaceable cartridge N-PE</t>
  </si>
  <si>
    <t>1 moduł 220V; W: 20kA, wkład wymienny N-PE</t>
  </si>
  <si>
    <t>https://novatek-electro.com/product/kartridzh-zminniy-n-pe.html</t>
  </si>
  <si>
    <t>https://novatek-electro.com/pl/product/wymienny-wklad-n-pe</t>
  </si>
  <si>
    <t>OPN-M (1S)10kA</t>
  </si>
  <si>
    <t>OPN-M (1S) 10KA</t>
  </si>
  <si>
    <t>NTOPN1S10</t>
  </si>
  <si>
    <t>1 модуль 380В; In: 10kA</t>
  </si>
  <si>
    <t>1 380V module; In: 10kA</t>
  </si>
  <si>
    <t>1 moduł 380V; W: 10kA</t>
  </si>
  <si>
    <t>https://novatek-electro.com/product/opn-m-1s.html</t>
  </si>
  <si>
    <t>https://novatek-electro.com/pl/product/opn-m-1s</t>
  </si>
  <si>
    <t>OPN-M (1S)30kA</t>
  </si>
  <si>
    <t>OPN-M (1S) 30KA</t>
  </si>
  <si>
    <t>NTOPN1S30</t>
  </si>
  <si>
    <t>1 модуль 380В; In: 30kA</t>
  </si>
  <si>
    <t>1 380V module; In: 30kA</t>
  </si>
  <si>
    <t>1 moduł 380V; W: 30kA</t>
  </si>
  <si>
    <t>OPN-M (2S)20kA</t>
  </si>
  <si>
    <t>OPN-M (2S) 20KA</t>
  </si>
  <si>
    <t>NTOPN2S20</t>
  </si>
  <si>
    <t>2 модулі 220В; In: 20kA</t>
  </si>
  <si>
    <t>2 220V modules; In: 20kA</t>
  </si>
  <si>
    <t>2 moduły 220V; W: 20kA</t>
  </si>
  <si>
    <t>https://novatek-electro.com/product/opn-m-2s.html</t>
  </si>
  <si>
    <t>https://novatek-electro.com/pl/product/opn-m-2s</t>
  </si>
  <si>
    <t>OPN-M (3S)10kA</t>
  </si>
  <si>
    <t>OPN-M (3S) 10KA</t>
  </si>
  <si>
    <t>NTOPN3S10</t>
  </si>
  <si>
    <t>3 модулі 380В; In: 10kA</t>
  </si>
  <si>
    <t>3 380V modules; In: 10kA</t>
  </si>
  <si>
    <t>3 moduły 380V; W: 10kA</t>
  </si>
  <si>
    <t>https://novatek-electro.com/product/opn-m-3s.html</t>
  </si>
  <si>
    <t>https://novatek-electro.com/pl/product/opn-m-3s</t>
  </si>
  <si>
    <t>OPN-M (3S)20kA</t>
  </si>
  <si>
    <t>OPN-M (3S) 20KA</t>
  </si>
  <si>
    <t>NTOPN3S20</t>
  </si>
  <si>
    <t>3 модулі 380В In: 20kA</t>
  </si>
  <si>
    <t>3 380V modules; In: 20kA</t>
  </si>
  <si>
    <t>3 moduły 380V In: 20kA</t>
  </si>
  <si>
    <t>OPN-M (3S)30kA</t>
  </si>
  <si>
    <t>OPN-M (3S) 30KA</t>
  </si>
  <si>
    <t>NTOPN3S30</t>
  </si>
  <si>
    <t>3 модулі 380В; In: 30kA</t>
  </si>
  <si>
    <t>3 380V modules; In: 30kA</t>
  </si>
  <si>
    <t>3 moduły 380V; W: 30kA</t>
  </si>
  <si>
    <t>OPN-M (4S)10kA</t>
  </si>
  <si>
    <t>OPN-M (4S) 10KA</t>
  </si>
  <si>
    <t>NTOPN4S10</t>
  </si>
  <si>
    <t>4 модулі 380В; In: 10kA</t>
  </si>
  <si>
    <t>4 380V modules; In: 10kA</t>
  </si>
  <si>
    <t>4 moduły 380V; W: 10kA</t>
  </si>
  <si>
    <t>https://novatek-electro.com/product/opn-m-4s.html</t>
  </si>
  <si>
    <t>https://novatek-electro.com/pl/product/opn-m-4s</t>
  </si>
  <si>
    <t>OPN-M (4S)20kA</t>
  </si>
  <si>
    <t>OPN-M (4S) 20KA</t>
  </si>
  <si>
    <t>NTOPN4S20</t>
  </si>
  <si>
    <t>4 модулі 380В; In: 20kA</t>
  </si>
  <si>
    <t>4 380V modules; In: 20kA</t>
  </si>
  <si>
    <t>4 moduły 380V; W: 20kA</t>
  </si>
  <si>
    <t>OPN-M (4S)30kA</t>
  </si>
  <si>
    <t>OPN-M (4S) 30KA</t>
  </si>
  <si>
    <t>NTOPN4S30</t>
  </si>
  <si>
    <t>4 модулі 380В; In: 30kA</t>
  </si>
  <si>
    <t>4 380V modules; In: 30kA</t>
  </si>
  <si>
    <t>4 moduły 380V; W: 30kA</t>
  </si>
  <si>
    <t>ОДНОФАЗНІ РЕЛЕ НАПРУГИ (ВИЛКА-РОЗЕТКА)</t>
  </si>
  <si>
    <t>РН-101М</t>
  </si>
  <si>
    <t>RN-101m</t>
  </si>
  <si>
    <t>NTRN101M0</t>
  </si>
  <si>
    <t>В розетку, індикація напруги і струму, струмовий автомат</t>
  </si>
  <si>
    <t>Socket, indication of voltage and current, current machine</t>
  </si>
  <si>
    <t>W gniazdko wskazanie napięcia i prądu, prądu maszyny</t>
  </si>
  <si>
    <t>https://novatek-electro.com/product/rele-naprugi-rn-101m.html</t>
  </si>
  <si>
    <t>https://novatek-electro.com/en/product/rn-101m-voltage-monitoring-relay</t>
  </si>
  <si>
    <t>https://novatek-electro.com/pl/product/przekaznik-napieciowy-rn-101m</t>
  </si>
  <si>
    <t>Single-phase voltage relay (plug-socket)</t>
  </si>
  <si>
    <t>Przekaźnik napięciowy jednofazowy (gniazdo wtykowe)</t>
  </si>
  <si>
    <t>РН-101М1</t>
  </si>
  <si>
    <t>RN-101m1</t>
  </si>
  <si>
    <t>NTRN101M1</t>
  </si>
  <si>
    <t>В розетку, індикація напруги і струму, обмеження струму</t>
  </si>
  <si>
    <t>Socket, indication of voltage and current, current limitation</t>
  </si>
  <si>
    <t>W gniazdko wskazanie napięcia i prądu, ograniczenie prądu</t>
  </si>
  <si>
    <t>https://novatek-electro.com/product/rele-naprugi-rn-101m1.html</t>
  </si>
  <si>
    <t>https://novatek-electro.com/en/product/voltage-relay-rn-122</t>
  </si>
  <si>
    <t>https://novatek-electro.com/pl/product/przekaznik-napieciowy-rn-101m1</t>
  </si>
  <si>
    <t>РН-122</t>
  </si>
  <si>
    <t>RN-122</t>
  </si>
  <si>
    <t>NTRN12200</t>
  </si>
  <si>
    <t>В розетку, індикація, кнопкове управління</t>
  </si>
  <si>
    <t>Socket, indication, push-button control</t>
  </si>
  <si>
    <t>W gniazdko sygnalizacja, sterowanie przyciskiem</t>
  </si>
  <si>
    <t>https://novatek-electro.com/product/rele-naprugi-v-rozetku-rn-122.html</t>
  </si>
  <si>
    <t>РН-116</t>
  </si>
  <si>
    <t>RN-116</t>
  </si>
  <si>
    <t>NTRN11600</t>
  </si>
  <si>
    <t>В розетку, індикація, потенціометри</t>
  </si>
  <si>
    <t>Socket, indication, potentiometers</t>
  </si>
  <si>
    <t>W gniazdko wskazanie, potencjometry</t>
  </si>
  <si>
    <t>https://novatek-electro.com/product/odnofazne-rele-naprugi-rn-116.html</t>
  </si>
  <si>
    <t>https://novatek-electro.com/en/product/rn-116-single-phase-voltage-monitoring-relay</t>
  </si>
  <si>
    <t>https://novatek-electro.com/pl/product/jednofazowy-przekaznik-napieciowy-rn-116</t>
  </si>
  <si>
    <t>VC-115</t>
  </si>
  <si>
    <t>NTRN115VC</t>
  </si>
  <si>
    <t>https://novatek-electro.com/product/rele-naprugi-vc-115.html</t>
  </si>
  <si>
    <t>https://novatek-electro.com/en/product/vc-115-single-phase-voltage-monitoring-relay</t>
  </si>
  <si>
    <t>РН-117</t>
  </si>
  <si>
    <t>RN-117</t>
  </si>
  <si>
    <t>NTRN11700</t>
  </si>
  <si>
    <t>Вбудовані налаштування</t>
  </si>
  <si>
    <t>Built-in settings</t>
  </si>
  <si>
    <t>Wbudowane ustawienia</t>
  </si>
  <si>
    <t>https://novatek-electro.com/product/odnofazne-rele-naprugi-rn-117.html</t>
  </si>
  <si>
    <t>https://novatek-electro.com/en/product/single-phase-voltage-monitoring-relay-rn-117</t>
  </si>
  <si>
    <t>https://novatek-electro.com/pl/product/przekaznik-napieciowy-rn-117</t>
  </si>
  <si>
    <t>ЕМ-125</t>
  </si>
  <si>
    <t>EM-125</t>
  </si>
  <si>
    <t>NTRN125S0</t>
  </si>
  <si>
    <t>Wi-Fi багатофункціональний таймер з реле напруги, обмеженням потужності і струму</t>
  </si>
  <si>
    <t>Wi-Fi multifunction timer with voltage relay, power and current limitaton functions</t>
  </si>
  <si>
    <t>Wielofunkcyjny timer Wi-Fi z przekaźnikiem napięciowym, ograniczeniem mocy i prądu</t>
  </si>
  <si>
    <t>https://novatek-electro.com/product/bagatofunkcionalne-wi-fi-rele-em-125.html</t>
  </si>
  <si>
    <t>https://novatek-electro.com/pl/product/wielofunkcyjny-przekaznik-wi-fi-em-125</t>
  </si>
  <si>
    <t>ЕМ-126Т-1</t>
  </si>
  <si>
    <t>EM-126T-1</t>
  </si>
  <si>
    <t>NTRN126S1</t>
  </si>
  <si>
    <t>Wi-Fi багатофункціональний таймер з реле, обмеженням потужності і струму та датчиком температури 10см</t>
  </si>
  <si>
    <t>Wi-Fi multifunction timer with voltage relay, power and current limitaton functions,  temperature sensor 10 cm</t>
  </si>
  <si>
    <t>Wielofunkcyjny timer Wi-Fi z przekaźnikiem, limitem mocy i prądu oraz 10cm czujnikiem temperatury</t>
  </si>
  <si>
    <t>https://novatek-electro.com/product/bagatofunkcionalne-wi-fi-rele-em-126t-z-dat-2.html</t>
  </si>
  <si>
    <t>https://novatek-electro.com/en/product/multifunctional-wi-fi-relay-em-126t</t>
  </si>
  <si>
    <t>https://novatek-electro.com/pl/product/wielofunkcyjny-przekaznik-czasowy-em-126t</t>
  </si>
  <si>
    <t>ЕМ-126Т-2</t>
  </si>
  <si>
    <t>EM-126T-2</t>
  </si>
  <si>
    <t>NTRN126S2</t>
  </si>
  <si>
    <t>Wi-Fi багатофункціональний таймер з реле, обмеженням потужності і струму та датчиком температури 1,8 м</t>
  </si>
  <si>
    <t>Wi-Fi multifunction timer with voltage relay, power and current limitaton functions,  temperature sensor 1,8 m</t>
  </si>
  <si>
    <t>Wielofunkcyjny timer Wi-Fi z przekaźnikiem, ograniczeniem mocy i prądu oraz 1,8 m czujnikiem temperatury</t>
  </si>
  <si>
    <t>ОДНОФАЗНІ РЕЛЕ НАПРУГИ (DIN-РЕЙКА)</t>
  </si>
  <si>
    <t>РН-102</t>
  </si>
  <si>
    <t>RN-102</t>
  </si>
  <si>
    <t>NTRN10200</t>
  </si>
  <si>
    <t>Настінне виконання</t>
  </si>
  <si>
    <t>Wall execution</t>
  </si>
  <si>
    <t>Wykonanie ścienne</t>
  </si>
  <si>
    <t>https://novatek-electro.com/product/potuzhne-rele-naprugi-rn-102.html</t>
  </si>
  <si>
    <t>https://novatek-electro.com/en/product/ph-102-powerful-voltage-monitoring-relay</t>
  </si>
  <si>
    <t>https://novatek-electro.com/pl/product/przekaznik-napieciowy-rn-102</t>
  </si>
  <si>
    <t>Single-phase voltage relays (DIN rail)</t>
  </si>
  <si>
    <t>Przekaźniki napięciowe jednofazowe (szyna DIN)</t>
  </si>
  <si>
    <t>РН-11</t>
  </si>
  <si>
    <t>RN-11</t>
  </si>
  <si>
    <t>NTRN11000</t>
  </si>
  <si>
    <t>220В Цифровий вольтметр</t>
  </si>
  <si>
    <t>220V Digital voltmeter</t>
  </si>
  <si>
    <t>Cyfrowy woltomierz 220 V</t>
  </si>
  <si>
    <t>https://novatek-electro.com/product/indikator-naprugi-rn-11.html</t>
  </si>
  <si>
    <t>https://novatek-electro.com/en/product/single-phase-digital-voltmeter-rn-11</t>
  </si>
  <si>
    <t>РН-111М</t>
  </si>
  <si>
    <t>RN-111m</t>
  </si>
  <si>
    <t>NTRN111M0</t>
  </si>
  <si>
    <t>Відключення контролю Uмін і Uмакс</t>
  </si>
  <si>
    <t xml:space="preserve">Umin and Umax control disconnection </t>
  </si>
  <si>
    <t>Wyłącz sterowanie Umin i Umax</t>
  </si>
  <si>
    <t>https://novatek-electro.com/product/odnofazne-rele-naprugi-rn-111m.html</t>
  </si>
  <si>
    <t>https://novatek-electro.com/en/product/the-rn-111m-single-phase-voltage-monitoring-relay</t>
  </si>
  <si>
    <t>https://novatek-electro.com/pl/product/przekaznik-napieciowy-jednofazowy-rn-111m</t>
  </si>
  <si>
    <t>РН-118</t>
  </si>
  <si>
    <t>RN-118</t>
  </si>
  <si>
    <t>NTRN11800</t>
  </si>
  <si>
    <t>Управління кнопками, фіксація напруги при відключенні</t>
  </si>
  <si>
    <t>Button control, voltage fixation at disconnection</t>
  </si>
  <si>
    <t>Sterowanie przyciskami, ustalanie napięcia przy wyłączaniu</t>
  </si>
  <si>
    <t>https://novatek-electro.com/product/rele-kontrolyu-naprugi-rn-118-rn-119.html</t>
  </si>
  <si>
    <t>https://novatek-electro.com/en/product/voltage-control-relay-rn-118-rn-119</t>
  </si>
  <si>
    <t>https://novatek-electro.com/pl/product/przekaznik-napieciowy-rn-118-rn-119</t>
  </si>
  <si>
    <t>РН-119</t>
  </si>
  <si>
    <t>RN-119</t>
  </si>
  <si>
    <t>NTRN11900</t>
  </si>
  <si>
    <t>https://novatek-electro.com/product/rele-naprugi-rn-119.html</t>
  </si>
  <si>
    <t>РН-113</t>
  </si>
  <si>
    <t>RN-113</t>
  </si>
  <si>
    <t>NTRN11300</t>
  </si>
  <si>
    <t>https://novatek-electro.com/product/odnofazne-rele-naprugi-rn-113.html</t>
  </si>
  <si>
    <t>https://novatek-electro.com/en/product/rn-113-single-phase-voltage-monitoring-relay</t>
  </si>
  <si>
    <t>РН-25t</t>
  </si>
  <si>
    <t>RN-25t</t>
  </si>
  <si>
    <t>NTRN02502</t>
  </si>
  <si>
    <t>Модернізоване, з термозахистом, клеми зверху і знизу, журнал аварій</t>
  </si>
  <si>
    <t>Upgraded, with thermal protection, top and bottom terminals, breakdown log</t>
  </si>
  <si>
    <t>Zmodernizowany, z ochroną termiczną, górnymi i dolnymi zaciskami, dziennikiem wypadków</t>
  </si>
  <si>
    <t>https://novatek-electro.com/product/rele-naprugi-rn-25t.html</t>
  </si>
  <si>
    <t>РН-32t</t>
  </si>
  <si>
    <t>RN-32t</t>
  </si>
  <si>
    <t>NTRN03202</t>
  </si>
  <si>
    <t>https://novatek-electro.com/product/rele-naprugi-rn-32t.html</t>
  </si>
  <si>
    <t>РН-40tc</t>
  </si>
  <si>
    <t>RN-40tc</t>
  </si>
  <si>
    <t>NTRN04002</t>
  </si>
  <si>
    <t>Модернізоване, з термозахистом, клеми зверху і знизу, журнал аварій, термодатчики на кожній клемі</t>
  </si>
  <si>
    <t>Upgraded, with thermal protection, top and bottom terminals, breakdown log, temperature sensors at each terminal</t>
  </si>
  <si>
    <t>Zmodernizowany, z ochroną termiczną, górnymi i dolnymi zaciskami, dziennikiem wypadków, czujnikami temperatury na każdym zacisku</t>
  </si>
  <si>
    <t>https://novatek-electro.com/product/rele-naprugi-rn-40tc.html</t>
  </si>
  <si>
    <t>40А</t>
  </si>
  <si>
    <t>РН-50tc</t>
  </si>
  <si>
    <t>RN-50tc</t>
  </si>
  <si>
    <t>NTRN05002</t>
  </si>
  <si>
    <t>https://novatek-electro.com/product/rele-naprugi-rn-50tc.html</t>
  </si>
  <si>
    <t>50А</t>
  </si>
  <si>
    <t>РН-63tc</t>
  </si>
  <si>
    <t>RN-63tc</t>
  </si>
  <si>
    <t>NTRN06302</t>
  </si>
  <si>
    <t>https://novatek-electro.com/product/rele-naprugi-rn-63tc.html</t>
  </si>
  <si>
    <t>РН-104</t>
  </si>
  <si>
    <t>PH-104</t>
  </si>
  <si>
    <t>NTPH10403</t>
  </si>
  <si>
    <t>Однофазне, клеми внизу, тільки реле напруги</t>
  </si>
  <si>
    <t>Single-phase, terminals at the bottom, voltage relay only</t>
  </si>
  <si>
    <t>Jednofazowe, zaciski na dole, tylko przekaźniki napięciowe</t>
  </si>
  <si>
    <t>https://novatek-electro.com/pl/product/przekaznik-napieciowy-ph-104</t>
  </si>
  <si>
    <t>40A</t>
  </si>
  <si>
    <t>РН-106</t>
  </si>
  <si>
    <t>PH-106</t>
  </si>
  <si>
    <t>NTPH10603</t>
  </si>
  <si>
    <t>https://novatek-electro.com/pl/product/przekaznik-napieciowy-ph-106</t>
  </si>
  <si>
    <t>63A</t>
  </si>
  <si>
    <t>РН-125</t>
  </si>
  <si>
    <t>RN-125</t>
  </si>
  <si>
    <t>NTRN12503</t>
  </si>
  <si>
    <t>https://novatek-electro.com/product/rele-naprugi-rn-125-volt-control-25a.html</t>
  </si>
  <si>
    <t>https://novatek-electro.com/en/product/voltage-relay-rn-125-volt-control-25a</t>
  </si>
  <si>
    <t>РН-132</t>
  </si>
  <si>
    <t>RN-132</t>
  </si>
  <si>
    <t>NTRN13203</t>
  </si>
  <si>
    <t>https://novatek-electro.com/product/rele-kontrolyu-naprugi-rn-132-volt-control-32a.html</t>
  </si>
  <si>
    <t>https://novatek-electro.com/en/product/voltage-relay-rn-132-volt-control-32a</t>
  </si>
  <si>
    <t>РН-140</t>
  </si>
  <si>
    <t>RN-140</t>
  </si>
  <si>
    <t>NTRN14003</t>
  </si>
  <si>
    <t>https://novatek-electro.com/product/rele-naprugi-rn-140-volt-control-40a.html</t>
  </si>
  <si>
    <t>https://novatek-electro.com/en/product/voltage-relay-rn-140-volt-control-40a</t>
  </si>
  <si>
    <t>РН-150</t>
  </si>
  <si>
    <t>RN-150</t>
  </si>
  <si>
    <t>NTRN15003</t>
  </si>
  <si>
    <t>https://novatek-electro.com/product/rele-naprugi-rn-150-volt-control-50a.html</t>
  </si>
  <si>
    <t>https://novatek-electro.com/en/product/voltage-relay-rn-150-volt-control-50a</t>
  </si>
  <si>
    <t>РН-163</t>
  </si>
  <si>
    <t>RN-163</t>
  </si>
  <si>
    <t>NTRN16303</t>
  </si>
  <si>
    <t>https://novatek-electro.com/product/rele-naprugi-rn-163-volt-control-63a.html</t>
  </si>
  <si>
    <t>https://novatek-electro.com/en/product/voltage-relay-rn-163-volt-control-63a</t>
  </si>
  <si>
    <t>РН-125Т</t>
  </si>
  <si>
    <t>RN-125t</t>
  </si>
  <si>
    <t>NTRN125T3</t>
  </si>
  <si>
    <t>З термозахистом, однофазне, клеми внизу, тільки реле напруги</t>
  </si>
  <si>
    <t>With thermal protection, single-phase, terminals at the bottom, voltage relay only</t>
  </si>
  <si>
    <t>Z zabezpieczeniem termicznym, jednofazowe, zaciski na dole, tylko przekaźniki napięciowe</t>
  </si>
  <si>
    <t>https://novatek-electro.com/product/rele-naprugi-rn-125t-volt-control-25a.html</t>
  </si>
  <si>
    <t>https://novatek-electro.com/en/product/voltage-relay-rn-125t-volt-control-25a</t>
  </si>
  <si>
    <t>РН-132Т</t>
  </si>
  <si>
    <t>RN-132t</t>
  </si>
  <si>
    <t>NTRN132T3</t>
  </si>
  <si>
    <t>https://novatek-electro.com/product/rele-kontrolyu-naprugi-rn-132t-volt-control-32a.html</t>
  </si>
  <si>
    <t>https://novatek-electro.com/en/product/voltage-relay-rn-132t-volt-control-32a</t>
  </si>
  <si>
    <t>РН-140Т</t>
  </si>
  <si>
    <t>RN-140t</t>
  </si>
  <si>
    <t>NTRN140T3</t>
  </si>
  <si>
    <t>https://novatek-electro.com/product/rele-naprugi-rn-140t-volt-control-40a.html</t>
  </si>
  <si>
    <t>https://novatek-electro.com/en/product/voltage-relay-rn-140t-volt-control-40a</t>
  </si>
  <si>
    <t>РН-150Т</t>
  </si>
  <si>
    <t>RN-150t</t>
  </si>
  <si>
    <t>NTRN150T3</t>
  </si>
  <si>
    <t>https://novatek-electro.com/product/rele-naprugi-rn-150t-volt-control-50a.html</t>
  </si>
  <si>
    <t>https://novatek-electro.com/en/product/voltage-relay-rn-150t-volt-control-50a</t>
  </si>
  <si>
    <t>РН-163Т</t>
  </si>
  <si>
    <t>RN-163t</t>
  </si>
  <si>
    <t>NTRN163T3</t>
  </si>
  <si>
    <t>https://novatek-electro.com/product/rele-naprugi-rn-163t-volt-control-63a.html</t>
  </si>
  <si>
    <t>https://novatek-electro.com/en/product/voltage-relay-rn-163t-volt-control-63a</t>
  </si>
  <si>
    <t>РН-240Т</t>
  </si>
  <si>
    <t>RN-240t</t>
  </si>
  <si>
    <t>NTRN240T2</t>
  </si>
  <si>
    <t>Обмежувач струму + реле напруги, індикація потужності</t>
  </si>
  <si>
    <t>Current limiter + voltage relay, power indication</t>
  </si>
  <si>
    <t>Ogranicznik prądu + przekaźnik napięciowy, wskazanie mocy</t>
  </si>
  <si>
    <t>https://novatek-electro.com/product/multifunkcionalnoe-rele-naprugi-r.html</t>
  </si>
  <si>
    <t>https://novatek-electro.com/en/product/multifunctional-voltage-relay-rn-240t</t>
  </si>
  <si>
    <t>https://novatek-electro.com/pl/product/przekaznik-napieciowy-ph-240t</t>
  </si>
  <si>
    <t>РН-260Т</t>
  </si>
  <si>
    <t>RN-260t</t>
  </si>
  <si>
    <t>NTRN260T3</t>
  </si>
  <si>
    <t>Обмежувач струму + реле напруги + обмежувач потужності, індикація параметрів</t>
  </si>
  <si>
    <t>Current limiter + voltage relay + power limiter, parameter indication</t>
  </si>
  <si>
    <t>Ogranicznik prądu + przekaźnik napięciowy + ogranicznik mocy, wskazanie parametrów</t>
  </si>
  <si>
    <t>https://novatek-electro.com/product/rele-naprugi-rn-260t-63a.html</t>
  </si>
  <si>
    <t>https://novatek-electro.com/pl/product/ph-260t</t>
  </si>
  <si>
    <t>РН-263Т</t>
  </si>
  <si>
    <t>RN-263t</t>
  </si>
  <si>
    <t>NTRN263T2</t>
  </si>
  <si>
    <t>https://novatek-electro.com/product/multifunkcionalniy-rele-naprugi-r.html</t>
  </si>
  <si>
    <t>https://novatek-electro.com/en/product/multifunctional-voltage-relay-rn-263t</t>
  </si>
  <si>
    <t>https://novatek-electro.com/pl/product/przekaznik-napieciowy-ph-263t</t>
  </si>
  <si>
    <t>РН-112</t>
  </si>
  <si>
    <t>RN-112</t>
  </si>
  <si>
    <t>NTRN122LV</t>
  </si>
  <si>
    <t>100В</t>
  </si>
  <si>
    <t>100V</t>
  </si>
  <si>
    <t>https://novatek-electro.com/product/odnofaznoe-rele-napryazheniya-rn-112.html</t>
  </si>
  <si>
    <t>5А</t>
  </si>
  <si>
    <t>ЕМ-129</t>
  </si>
  <si>
    <t>EM-129</t>
  </si>
  <si>
    <t>NTRN129S0</t>
  </si>
  <si>
    <t>9028 30 11 00</t>
  </si>
  <si>
    <t>Wi-Fi лічильник з реле напруги, обмеженням потужності і струму, історія, таймер, графіки</t>
  </si>
  <si>
    <t>Wi-Fi meter with voltage relay, power and current limitation, history log, timer, graphics</t>
  </si>
  <si>
    <t>Miernik Wi-Fi z przekaźnikiem napięcia, limitem mocy i prądu, historią, timerem, grafiką</t>
  </si>
  <si>
    <t>https://novatek-electro.com/product/wi-fi-lichilnik-elektroenergii-z-funkciie.html</t>
  </si>
  <si>
    <t>https://novatek-electro.com/en/product/wi-fi-electricity-meter-with-protection-and-control-function-em-129</t>
  </si>
  <si>
    <t>https://novatek-electro.com/pl/product/przekaznik-wi-fi-63a-na-szyne-din-em-129</t>
  </si>
  <si>
    <t>РЕЛЕ ПЕРЕТОКУ</t>
  </si>
  <si>
    <t>EPS Master</t>
  </si>
  <si>
    <t>EPSM0000S</t>
  </si>
  <si>
    <t>Wi-Fi реле перетоку з реле напруги, обмеженням потжності і струму, історія, таймер, графіки Master</t>
  </si>
  <si>
    <t>Wi-Fi overflow relay with voltage relay, power and current limitation, history log, timer, graphics Master</t>
  </si>
  <si>
    <t>Przekaźnik nadmiarowy Wi-Fi z przekaźnikiem napięciowym, limitem mocy i prądu, historią, zegarem, modułem graficznym Master</t>
  </si>
  <si>
    <t>https://novatek-electro.com/product/eps-master.html</t>
  </si>
  <si>
    <t>https://novatek-electro.com/en/product/power-flow-control-system-eps-1-1</t>
  </si>
  <si>
    <t>https://novatek-electro.com/pl/product/ograniczenie-przeplywu-mocy-eps</t>
  </si>
  <si>
    <t>Overflow relay</t>
  </si>
  <si>
    <t>Przekaźnik przelewowy</t>
  </si>
  <si>
    <t>EPS Slave</t>
  </si>
  <si>
    <t>EPSS0000S</t>
  </si>
  <si>
    <t>Wi-Fi реле перетоку з реле напруги, обмеженням потжності і струму, історія, таймер, графіки Slave</t>
  </si>
  <si>
    <t>Wi-Fi overflow relay with voltage relay, power and current limitation, history log, timer, graphics Slave</t>
  </si>
  <si>
    <t>Przekaźnik nadmiarowy Wi-Fi z przekaźnikiem napięciowym, limitem mocy i prądu, historią, zegarem, modułem graficznym Slave</t>
  </si>
  <si>
    <t>https://novatek-electro.com/product/eps-slave.html</t>
  </si>
  <si>
    <t>https://novatek-electro.com/pl/product/system-ograniczenia-przeplywu-mocy-aktywnej-eps-11</t>
  </si>
  <si>
    <t>3,6кВт</t>
  </si>
  <si>
    <t>3,6kW</t>
  </si>
  <si>
    <t>EPS 1+1 (master+slave)</t>
  </si>
  <si>
    <t>EPSMS000S</t>
  </si>
  <si>
    <t>Wi-Fi реле перетоку з реле напруги, обмеженням потжності і струму, історія, таймер, графіки Master+Slave</t>
  </si>
  <si>
    <t>Wi-Fi overflow relay with voltage relay, power and current limitation, history log, timer, graphics Master+Slave</t>
  </si>
  <si>
    <t>Przekaźnik nadmiarowy Wi-Fi z przekaźnikiem napięciowym, limitem mocy i prądu, historią, zegarem, modułem graficznym Master + Slave</t>
  </si>
  <si>
    <t>https://novatek-electro.com/product/eps-11.html</t>
  </si>
  <si>
    <t>СТАБІЛІЗАТОРИ НАПРУГИ</t>
  </si>
  <si>
    <t>LEGAT-5М</t>
  </si>
  <si>
    <t>NTLG5M000</t>
  </si>
  <si>
    <t>Однофазний стабілізатор напруги Legat-5М призначений для забезпечення високостабільним електроживленням різних споживачів 220В / 50Гц потужністю споживання до 500ВА</t>
  </si>
  <si>
    <t>The Legat-5M single-phase voltage stabilizer is designed to provide highly stable power supply to various consumers 220V / 50Hz with a power consumption of up to 500VA</t>
  </si>
  <si>
    <t>Jednofazowy regulator napięcia Legat-5M przeznaczony jest do zasilania wysokiego napięcia dla różnych odbiorców w 220V / 50Hz o mocy do 500VA.</t>
  </si>
  <si>
    <t>0,5кВт</t>
  </si>
  <si>
    <t>0,5kW</t>
  </si>
  <si>
    <t>VOLTAGE STABILIZERS</t>
  </si>
  <si>
    <t>STABILIZATORY NAPIĘCIA</t>
  </si>
  <si>
    <t>LEGAT-35</t>
  </si>
  <si>
    <t>NTLG35000</t>
  </si>
  <si>
    <t>Однофазний стабілізатор напруги Legat-35 призначений для забезпечення високостабільним електроживленням різних споживачів 220В / 50Гц потужністю споживання до 3500ВА</t>
  </si>
  <si>
    <t>The Legat-35 single-phase voltage stabilizer is designed to provide a highly stable power supply to various 220V / 50Hz consumers with a power consumption of up to 3500VA</t>
  </si>
  <si>
    <t>Jednofazowy regulator napięcia Legat-35 jest przeznaczony do zapewnienia wysokiego napięcia zasilania dla różnych odbiorników o poborze mocy 220V / 50Hz do 3500VA.</t>
  </si>
  <si>
    <t>3,5кВт</t>
  </si>
  <si>
    <t>3,5kW</t>
  </si>
  <si>
    <t>LEGAT-65</t>
  </si>
  <si>
    <t>NTLG65000</t>
  </si>
  <si>
    <t>Однофазний стабілізатор напруги Legat-65 призначений для забезпечення високостабільним електроживленням різних споживачів 220В / 50Гц потужністю споживання до 6500ВА</t>
  </si>
  <si>
    <t>The Legat-65 single-phase voltage stabilizer is designed to provide a highly stable power supply to various 220V / 50Hz consumers with a power consumption of up to 6500VA</t>
  </si>
  <si>
    <t>Jednofazowy regulator napięcia Legat-65 jest przeznaczony do zapewnienia wysokiego napięcia zasilania dla różnych odbiorników o poborze mocy 220V / 50Hz do 6500VA.</t>
  </si>
  <si>
    <t>6,5кВт</t>
  </si>
  <si>
    <t>6,5kW</t>
  </si>
  <si>
    <t>ДЖЕРЕЛО БЕЗПЕРЕБІЙНОГО ЕЛЕКТРОЖИВЛЕННЯ</t>
  </si>
  <si>
    <t>UPS -1000</t>
  </si>
  <si>
    <t>NTUPS0000</t>
  </si>
  <si>
    <t>8504 40 90 90</t>
  </si>
  <si>
    <t>Потужність навантаження, 600 ВА</t>
  </si>
  <si>
    <t>https://novatek-electro.com/product/dzherelo-bezperebiynogo-elektrozhivle.html</t>
  </si>
  <si>
    <t>ДИСТРИБУЦІЯ</t>
  </si>
  <si>
    <t>ДЖЕРЕЛО БЕЗПЕРЕБІЙНОГО ЕЛЕКТРОЖИВЛЕННЯ 600 ВТ</t>
  </si>
  <si>
    <t>8504 40 90 00</t>
  </si>
  <si>
    <t>Джерело безперебійного живлення UPS 600W (140-290V, LCD, 9Аh)</t>
  </si>
  <si>
    <t>https://novatek-electro.com/product/dzherelo-bezperebiynogo-elektrozhivle-6.html</t>
  </si>
  <si>
    <t>600 Вт</t>
  </si>
  <si>
    <t>ДЖЕРЕЛО БЕЗПЕРЕБІЙНОГО ЕЛЕКТРОЖИВЛЕННЯ 900 ВТ</t>
  </si>
  <si>
    <t>Джерело безперебійного живлення UPS 900W (140-290V, LCD, 12Аh)</t>
  </si>
  <si>
    <t>https://novatek-electro.com/product/dzherelo-bezperebiynogo-elektrozhivle-5.html</t>
  </si>
  <si>
    <t>900 Вт</t>
  </si>
  <si>
    <t>ДЖЕРЕЛО БЕЗПЕРЕБІЙНОГО ЕЛЕКТРОЖИВЛЕННЯ 1000 ВТ</t>
  </si>
  <si>
    <t>Джерело безперебійного живлення UPS 1000W (140-290V, LCD, 2*7Аh)</t>
  </si>
  <si>
    <t>https://novatek-electro.com/product/dzherelo-bezperebiynogo-elektrozhivle-4.html</t>
  </si>
  <si>
    <t>1000 Вт /1500 ВА</t>
  </si>
  <si>
    <t>ДЖЕРЕЛО БЕЗПЕРЕБІЙНОГО ЕЛЕКТРОЖИВЛЕННЯ 1200 ВТ</t>
  </si>
  <si>
    <t>Джерело безперебійного живлення UPS 1200W (140-290V, LCD, 2*9Аh)</t>
  </si>
  <si>
    <t>https://novatek-electro.com/product/dzherelo-bezperebiynogo-elektrozhivle-3.html</t>
  </si>
  <si>
    <t>1200 Вт /2000 ВА</t>
  </si>
  <si>
    <t>ДЖЕРЕЛО БЕЗПЕРЕБІЙНОГО ЕЛЕКТРОЖИВЛЕННЯ 1800 ВТ</t>
  </si>
  <si>
    <t>Джерело безперебійного живлення UPS 1800W (140-290V, LCD, 4*9Аh)</t>
  </si>
  <si>
    <t>https://novatek-electro.com/product/dzherelo-bezperebiynogo-elektrozhivle-2.html</t>
  </si>
  <si>
    <t>1800 Вт /3000 ВА</t>
  </si>
  <si>
    <t>ЛІХТАР-ПОВЕРБАНК ІЗ СОНЯЧНОЮ БАТАРЕЄЮ ТА USB</t>
  </si>
  <si>
    <t>8513 10 00 00</t>
  </si>
  <si>
    <t>Ліхтар з сонячною АКБ, 6 режимів освітлення, сонячна батарея та USB</t>
  </si>
  <si>
    <t>https://novatek-electro.com/product/likhtar-poverbank-iz-sonyachnoyu-batareie.html</t>
  </si>
  <si>
    <t>ЛІХТАР-ПРОЖЕКТОР, З ВБУДОВАНИМ POWER BANK 10 ВТ</t>
  </si>
  <si>
    <t>Ліхтар з повербанком 10w (132*102*178 мм), 7 режимів освітлення, функція POWER BANK</t>
  </si>
  <si>
    <t>https://novatek-electro.com/product/likhtar-prozhektor-z-vbudovanim-power-bank-10-vt.html</t>
  </si>
  <si>
    <t>ЛІХТАР-ПРОЖЕКТОР, З ВБУДОВАНИМ POWER BANK 40 ВТ</t>
  </si>
  <si>
    <t>Ліхтар з повербанком 40w (160*133*192 мм), 7 режимів освітлення, функція POWER BANK</t>
  </si>
  <si>
    <t>https://novatek-electro.com/product/likhtar-prozhektor-z-vbudovanim-power-bank-40-vt.html</t>
  </si>
  <si>
    <t>АВТОМОБІЛЬНИЙ ІНВЕРТОР 1000W</t>
  </si>
  <si>
    <t>8504 40 84 00</t>
  </si>
  <si>
    <t>Інвертер автомобільний 12/220V, габарити: 170*90*55 мм</t>
  </si>
  <si>
    <t>https://novatek-electro.com/product/avtomobilniy-invertor1000w.html</t>
  </si>
  <si>
    <t>Вхідна напруга: 12V</t>
  </si>
  <si>
    <t>БЛОКИ ЖИВЛЕННЯ</t>
  </si>
  <si>
    <t>PS-220/12-3</t>
  </si>
  <si>
    <t>Джерела напруги постійного струму серії PS призначені для живлення навантажень постійною стабілізованою напругою, а також можуть використовуватися для заряду акумуляторних батарей.</t>
  </si>
  <si>
    <t>https://novatek-electro.com/product/dzherela-naprugi-postiynogo-strumu-ps.html</t>
  </si>
  <si>
    <t>PS-220/24-1,5</t>
  </si>
  <si>
    <t>PS-220/48-0,75</t>
  </si>
  <si>
    <t>PS-220/5-7</t>
  </si>
  <si>
    <t>ШАФИ КЕРУВАННЯ (ПІД ЗАМОВЛЕННЯ)</t>
  </si>
  <si>
    <t>АВР</t>
  </si>
  <si>
    <t>ABP</t>
  </si>
  <si>
    <t>Шафа керування автоматичним вводом резерву, під замовлення</t>
  </si>
  <si>
    <t>Control panel for automatic entry of the reserve, by order</t>
  </si>
  <si>
    <t>Wieża kontrolna z automatycznym podawaniem rezerwy, według zamówienia</t>
  </si>
  <si>
    <t>https://novatek-electro.com/product/shafa-keruvannya-avtomatichnim-vvodom-r.html</t>
  </si>
  <si>
    <t>Control panels</t>
  </si>
  <si>
    <t>Panele sterowania</t>
  </si>
  <si>
    <t>Освітлення</t>
  </si>
  <si>
    <t>Light</t>
  </si>
  <si>
    <t>Шафа керування зовнішнім освітленням, під замовлення</t>
  </si>
  <si>
    <t>Control panel for outside lighting, by order</t>
  </si>
  <si>
    <t>Wieża kontrolna do oświetlenia zewnętrznego według zamówienia</t>
  </si>
  <si>
    <t>https://novatek-electro.com/product/shafa-keruvannya-zovnishnim-osvitlennya.html</t>
  </si>
  <si>
    <t>Комунальне освітлення</t>
  </si>
  <si>
    <t>Lumen</t>
  </si>
  <si>
    <t>Управління та облік по внутрішніх лініях освітлення overvis lumen</t>
  </si>
  <si>
    <t>Management and accounting of internal lighting lines overvis lumen</t>
  </si>
  <si>
    <t>Zarządzanie i monitorowanie wewnętrznych linii oświetleniowych overvis lumen</t>
  </si>
  <si>
    <t>https://novatek-electro.com/product/overvis-lumen.html</t>
  </si>
  <si>
    <t>Насосна станція</t>
  </si>
  <si>
    <t>Pump</t>
  </si>
  <si>
    <t>Шафа керування насосною станцією, під замовлення</t>
  </si>
  <si>
    <t>Control room for the pumping station, by order</t>
  </si>
  <si>
    <t>Szafa sterownicza dla przepompowni, wg zamówienia</t>
  </si>
  <si>
    <t>https://novatek-electro.com/product/shafa-keruvannya-nasosnoyu-stanciieyu-z-mo.html</t>
  </si>
  <si>
    <t>Клімат-контроль</t>
  </si>
  <si>
    <t>Climate</t>
  </si>
  <si>
    <t>Автоматизація клімату, під замовлення</t>
  </si>
  <si>
    <t>Automation of the climate, by order</t>
  </si>
  <si>
    <t>Kontrola klimatu w pomieszczeniach, według zamówienia</t>
  </si>
  <si>
    <t>https://novatek-electro.com/product/overvis-climate.html</t>
  </si>
  <si>
    <t>Басейн</t>
  </si>
  <si>
    <t>Pool</t>
  </si>
  <si>
    <t>Автоматизація управління басейном, під замовлення</t>
  </si>
  <si>
    <t>Automating the management of the swimming pool, by order</t>
  </si>
  <si>
    <t>Automatyka sterowania basenem według zamówień</t>
  </si>
  <si>
    <t>https://novatek-electro.com/product/overvis-pool.html</t>
  </si>
  <si>
    <t>Холод</t>
  </si>
  <si>
    <t>Ice</t>
  </si>
  <si>
    <t>Моніторинг і дистанційне керування для холодильного обладнання</t>
  </si>
  <si>
    <t>Monitoring and remote control for refrigeration equipment</t>
  </si>
  <si>
    <t>Zdalne sterowanie i monitorowanie urządzeń chłodniczych</t>
  </si>
  <si>
    <t>https://novatek-electro.com/product/overvis-ise.html</t>
  </si>
  <si>
    <t>Розумний будинок</t>
  </si>
  <si>
    <t>Smart House</t>
  </si>
  <si>
    <t>Розумний будинок overvis smart house</t>
  </si>
  <si>
    <t>Overvis smart house</t>
  </si>
  <si>
    <t>Płynny dom nad inteligentnym domem</t>
  </si>
  <si>
    <t>https://novatek-electro.com/product/rozumniy-budinok-overvis-smart-house.html</t>
  </si>
  <si>
    <t>Опалення</t>
  </si>
  <si>
    <t>Heat</t>
  </si>
  <si>
    <t>Управління електроопаленням та водонагрівом overvis electroheat</t>
  </si>
  <si>
    <t>Electric and water heating control overvis electroheat</t>
  </si>
  <si>
    <t>Sterowanie ogrzewaniem elektrycznym i ogrzewaniem wody overvis electroheat</t>
  </si>
  <si>
    <t>https://novatek-electro.com/product/overvis-electroheat.html</t>
  </si>
  <si>
    <t>Котедж</t>
  </si>
  <si>
    <t>Village</t>
  </si>
  <si>
    <t>Управління та захист електромережі котеджного селища overvis village</t>
  </si>
  <si>
    <t>Management and protection of the electric power grid of the cottage village overvis village</t>
  </si>
  <si>
    <t>Zarządzanie i ochrona sieci elektroenergetycznej w wiosce domków letniskowych Overvis</t>
  </si>
  <si>
    <t>https://novatek-electro.com/product/overvis-village.html</t>
  </si>
  <si>
    <t>+38 (067) 565-37-68
+38 (050) 359-39-11
+38 (063) 301-30-40</t>
  </si>
  <si>
    <t>alex@novatek-electro.com
sales6@novatek-electro.com
sales5@novatek-electro.com
sales3@novatek-electro.com</t>
  </si>
  <si>
    <t>Найменування</t>
  </si>
  <si>
    <t>Вартість, грн</t>
  </si>
  <si>
    <t>Вартість з 01.02.2024</t>
  </si>
  <si>
    <t>Опис</t>
  </si>
  <si>
    <t>Форм-фактор</t>
  </si>
  <si>
    <t>Струм/Потужність</t>
  </si>
  <si>
    <t>Price, EUR.</t>
  </si>
  <si>
    <t>Price, from 01.02.2024 EUR.</t>
  </si>
  <si>
    <t>Description</t>
  </si>
  <si>
    <t>Size, DIN</t>
  </si>
  <si>
    <t>Art. #</t>
  </si>
  <si>
    <t>Barcode</t>
  </si>
  <si>
    <t>UA Export Code</t>
  </si>
  <si>
    <t>Nazwa</t>
  </si>
  <si>
    <t>Cena PLN.</t>
  </si>
  <si>
    <t>Zmiana ceny od 01.02.2024 PLN.</t>
  </si>
  <si>
    <t>Rozmiar, DIN</t>
  </si>
  <si>
    <t>Artykuł</t>
  </si>
  <si>
    <t>Kod kreskowy</t>
  </si>
  <si>
    <t>Kod eksportu 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</si>
</sst>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[$UAH]"/>
    <numFmt numFmtId="165" formatCode="[$€]#,##0.00"/>
    <numFmt numFmtId="166" formatCode="#,##0.00[$ zł]"/>
  </numFmts>
  <fonts count="16">
    <font>
      <sz val="11"/>
      <color rgb="FF000000"/>
      <name val="Calibri"/>
      <scheme val="minor"/>
    </font>
    <font>
      <b/>
      <sz val="9"/>
      <color theme="1"/>
      <name val="Helvetica Neue"/>
    </font>
    <font>
      <sz val="9"/>
      <color theme="1"/>
      <name val="Helvetica Neue"/>
    </font>
    <font>
      <u/>
      <sz val="9"/>
      <color rgb="FF0000FF"/>
      <name val="Helvetica Neue"/>
    </font>
    <font>
      <u/>
      <sz val="9"/>
      <color rgb="FF1155CC"/>
      <name val="Helvetica Neue"/>
    </font>
    <font>
      <sz val="9"/>
      <color rgb="FF0000FF"/>
      <name val="Helvetica Neue"/>
    </font>
    <font>
      <sz val="9"/>
      <color rgb="FF000000"/>
      <name val="Helvetica Neue"/>
    </font>
    <font>
      <u/>
      <sz val="9"/>
      <color rgb="FF0000FF"/>
      <name val="Helvetica Neue"/>
    </font>
    <font>
      <sz val="9"/>
      <color rgb="FF444444"/>
      <name val="Helvetica Neue"/>
    </font>
    <font>
      <b/>
      <sz val="24"/>
      <color rgb="FF0000FF"/>
      <name val="Helvetica Neue"/>
    </font>
    <font>
      <b/>
      <sz val="10"/>
      <color theme="1"/>
      <name val="Helvetica Neue"/>
    </font>
    <font>
      <sz val="10"/>
      <color theme="1"/>
      <name val="Helvetica Neue"/>
    </font>
    <font>
      <sz val="10"/>
      <color rgb="FF000000"/>
      <name val="Inconsolata"/>
    </font>
    <font>
      <sz val="10"/>
      <color rgb="FF0000FF"/>
      <name val="Helvetica Neue"/>
    </font>
    <font>
      <b/>
      <sz val="14"/>
      <color rgb="FF0000FF"/>
      <name val="Helvetica Neue"/>
    </font>
    <font>
      <b/>
      <sz val="10"/>
      <color rgb="FF0000FF"/>
      <name val="Helvetica Neue"/>
    </font>
  </fonts>
  <fills count="8">
    <fill>
      <patternFill patternType="none"/>
    </fill>
    <fill>
      <patternFill patternType="gray125"/>
    </fill>
    <fill>
      <patternFill patternType="solid">
        <fgColor rgb="FFBDBDBD"/>
        <bgColor rgb="FFBDBDBD"/>
      </patternFill>
    </fill>
    <fill>
      <patternFill patternType="solid">
        <fgColor rgb="FFE12C58"/>
        <bgColor rgb="FFE12C58"/>
      </patternFill>
    </fill>
    <fill>
      <patternFill patternType="solid">
        <fgColor rgb="FFB7B7B7"/>
        <bgColor rgb="FFB7B7B7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FF00FF"/>
        <bgColor rgb="FFFF00FF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dotted">
        <color rgb="FF3D85C6"/>
      </left>
      <right style="dotted">
        <color rgb="FF3D85C6"/>
      </right>
      <top style="medium">
        <color rgb="FF3D85C6"/>
      </top>
      <bottom style="dotted">
        <color rgb="FF3D85C6"/>
      </bottom>
      <diagonal/>
    </border>
    <border>
      <left style="dotted">
        <color rgb="FF3D85C6"/>
      </left>
      <right style="medium">
        <color rgb="FF3D85C6"/>
      </right>
      <top style="medium">
        <color rgb="FF3D85C6"/>
      </top>
      <bottom style="dotted">
        <color rgb="FF3D85C6"/>
      </bottom>
      <diagonal/>
    </border>
    <border>
      <left style="dotted">
        <color rgb="FF3D85C6"/>
      </left>
      <right style="dotted">
        <color rgb="FF3D85C6"/>
      </right>
      <top style="dotted">
        <color rgb="FF3D85C6"/>
      </top>
      <bottom style="dotted">
        <color rgb="FF3D85C6"/>
      </bottom>
      <diagonal/>
    </border>
    <border>
      <left style="dotted">
        <color rgb="FF3D85C6"/>
      </left>
      <right style="medium">
        <color rgb="FF3D85C6"/>
      </right>
      <top style="dotted">
        <color rgb="FF3D85C6"/>
      </top>
      <bottom style="dotted">
        <color rgb="FF000000"/>
      </bottom>
      <diagonal/>
    </border>
    <border>
      <left style="dotted">
        <color rgb="FF3D85C6"/>
      </left>
      <right style="medium">
        <color rgb="FF3D85C6"/>
      </right>
      <top style="dotted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 applyFont="1" applyAlignment="1"/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left" vertical="top"/>
    </xf>
    <xf numFmtId="1" fontId="2" fillId="0" borderId="4" xfId="0" applyNumberFormat="1" applyFont="1" applyBorder="1" applyAlignment="1">
      <alignment horizontal="left" vertical="top"/>
    </xf>
    <xf numFmtId="4" fontId="2" fillId="0" borderId="4" xfId="0" applyNumberFormat="1" applyFont="1" applyBorder="1" applyAlignment="1">
      <alignment horizontal="left" vertical="top"/>
    </xf>
    <xf numFmtId="4" fontId="2" fillId="0" borderId="5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3" fontId="2" fillId="0" borderId="4" xfId="0" applyNumberFormat="1" applyFont="1" applyBorder="1" applyAlignment="1">
      <alignment horizontal="left" vertical="top"/>
    </xf>
    <xf numFmtId="4" fontId="2" fillId="0" borderId="4" xfId="0" applyNumberFormat="1" applyFont="1" applyBorder="1" applyAlignment="1">
      <alignment horizontal="left" vertical="top"/>
    </xf>
    <xf numFmtId="3" fontId="2" fillId="0" borderId="6" xfId="0" applyNumberFormat="1" applyFont="1" applyBorder="1" applyAlignment="1">
      <alignment horizontal="left" vertical="top"/>
    </xf>
    <xf numFmtId="4" fontId="2" fillId="0" borderId="7" xfId="0" applyNumberFormat="1" applyFont="1" applyBorder="1" applyAlignment="1">
      <alignment horizontal="left" vertical="top"/>
    </xf>
    <xf numFmtId="1" fontId="2" fillId="0" borderId="5" xfId="0" applyNumberFormat="1" applyFont="1" applyBorder="1" applyAlignment="1">
      <alignment horizontal="left" vertical="top"/>
    </xf>
    <xf numFmtId="1" fontId="2" fillId="0" borderId="5" xfId="0" applyNumberFormat="1" applyFont="1" applyBorder="1" applyAlignment="1">
      <alignment horizontal="left" vertical="top"/>
    </xf>
    <xf numFmtId="164" fontId="2" fillId="0" borderId="5" xfId="0" applyNumberFormat="1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3" fontId="2" fillId="0" borderId="5" xfId="0" applyNumberFormat="1" applyFont="1" applyBorder="1" applyAlignment="1">
      <alignment horizontal="left" vertical="top"/>
    </xf>
    <xf numFmtId="4" fontId="2" fillId="0" borderId="5" xfId="0" applyNumberFormat="1" applyFont="1" applyBorder="1" applyAlignment="1">
      <alignment horizontal="left" vertical="top"/>
    </xf>
    <xf numFmtId="3" fontId="2" fillId="0" borderId="8" xfId="0" applyNumberFormat="1" applyFont="1" applyBorder="1" applyAlignment="1">
      <alignment horizontal="left" vertical="top"/>
    </xf>
    <xf numFmtId="4" fontId="2" fillId="0" borderId="9" xfId="0" applyNumberFormat="1" applyFont="1" applyBorder="1" applyAlignment="1">
      <alignment horizontal="left" vertical="top"/>
    </xf>
    <xf numFmtId="164" fontId="2" fillId="0" borderId="5" xfId="0" applyNumberFormat="1" applyFont="1" applyBorder="1" applyAlignment="1">
      <alignment horizontal="left" vertical="top"/>
    </xf>
    <xf numFmtId="1" fontId="3" fillId="0" borderId="5" xfId="0" applyNumberFormat="1" applyFont="1" applyBorder="1" applyAlignment="1">
      <alignment horizontal="left" vertical="top"/>
    </xf>
    <xf numFmtId="3" fontId="2" fillId="0" borderId="5" xfId="0" applyNumberFormat="1" applyFont="1" applyBorder="1" applyAlignment="1">
      <alignment horizontal="left" vertical="top"/>
    </xf>
    <xf numFmtId="1" fontId="4" fillId="0" borderId="5" xfId="0" applyNumberFormat="1" applyFont="1" applyBorder="1" applyAlignment="1">
      <alignment horizontal="left" vertical="top"/>
    </xf>
    <xf numFmtId="164" fontId="2" fillId="0" borderId="5" xfId="0" applyNumberFormat="1" applyFont="1" applyBorder="1" applyAlignment="1">
      <alignment horizontal="left" vertical="top"/>
    </xf>
    <xf numFmtId="4" fontId="2" fillId="2" borderId="9" xfId="0" applyNumberFormat="1" applyFont="1" applyFill="1" applyBorder="1" applyAlignment="1">
      <alignment horizontal="left" vertical="top"/>
    </xf>
    <xf numFmtId="4" fontId="2" fillId="2" borderId="5" xfId="0" applyNumberFormat="1" applyFont="1" applyFill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1" fontId="5" fillId="0" borderId="5" xfId="0" applyNumberFormat="1" applyFont="1" applyBorder="1" applyAlignment="1">
      <alignment horizontal="left" vertical="top"/>
    </xf>
    <xf numFmtId="4" fontId="2" fillId="0" borderId="9" xfId="0" applyNumberFormat="1" applyFont="1" applyBorder="1" applyAlignment="1">
      <alignment horizontal="left" vertical="top"/>
    </xf>
    <xf numFmtId="4" fontId="2" fillId="3" borderId="10" xfId="0" applyNumberFormat="1" applyFont="1" applyFill="1" applyBorder="1" applyAlignment="1">
      <alignment horizontal="left" vertical="top"/>
    </xf>
    <xf numFmtId="4" fontId="2" fillId="3" borderId="5" xfId="0" applyNumberFormat="1" applyFont="1" applyFill="1" applyBorder="1" applyAlignment="1">
      <alignment horizontal="left" vertical="top"/>
    </xf>
    <xf numFmtId="4" fontId="2" fillId="0" borderId="9" xfId="0" applyNumberFormat="1" applyFont="1" applyBorder="1" applyAlignment="1">
      <alignment horizontal="left" vertical="top"/>
    </xf>
    <xf numFmtId="4" fontId="2" fillId="4" borderId="9" xfId="0" applyNumberFormat="1" applyFont="1" applyFill="1" applyBorder="1" applyAlignment="1">
      <alignment horizontal="left" vertical="top"/>
    </xf>
    <xf numFmtId="4" fontId="2" fillId="4" borderId="5" xfId="0" applyNumberFormat="1" applyFont="1" applyFill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3" fontId="2" fillId="0" borderId="8" xfId="0" applyNumberFormat="1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1" fontId="2" fillId="5" borderId="5" xfId="0" applyNumberFormat="1" applyFont="1" applyFill="1" applyBorder="1" applyAlignment="1">
      <alignment vertical="top"/>
    </xf>
    <xf numFmtId="0" fontId="2" fillId="0" borderId="12" xfId="0" applyFont="1" applyBorder="1" applyAlignment="1">
      <alignment horizontal="left" vertical="top"/>
    </xf>
    <xf numFmtId="1" fontId="2" fillId="6" borderId="4" xfId="0" applyNumberFormat="1" applyFont="1" applyFill="1" applyBorder="1" applyAlignment="1">
      <alignment vertical="top"/>
    </xf>
    <xf numFmtId="0" fontId="6" fillId="6" borderId="0" xfId="0" applyFont="1" applyFill="1" applyAlignment="1">
      <alignment vertical="top"/>
    </xf>
    <xf numFmtId="0" fontId="2" fillId="0" borderId="0" xfId="0" applyFont="1" applyAlignment="1">
      <alignment vertical="top"/>
    </xf>
    <xf numFmtId="1" fontId="2" fillId="5" borderId="4" xfId="0" applyNumberFormat="1" applyFont="1" applyFill="1" applyBorder="1" applyAlignment="1">
      <alignment vertical="top"/>
    </xf>
    <xf numFmtId="0" fontId="2" fillId="0" borderId="4" xfId="0" applyFont="1" applyBorder="1" applyAlignment="1">
      <alignment horizontal="left" vertical="top"/>
    </xf>
    <xf numFmtId="1" fontId="2" fillId="5" borderId="4" xfId="0" applyNumberFormat="1" applyFont="1" applyFill="1" applyBorder="1" applyAlignment="1">
      <alignment vertical="top"/>
    </xf>
    <xf numFmtId="1" fontId="2" fillId="5" borderId="13" xfId="0" applyNumberFormat="1" applyFont="1" applyFill="1" applyBorder="1" applyAlignment="1">
      <alignment vertical="top"/>
    </xf>
    <xf numFmtId="1" fontId="2" fillId="5" borderId="13" xfId="0" applyNumberFormat="1" applyFont="1" applyFill="1" applyBorder="1" applyAlignment="1">
      <alignment vertical="top"/>
    </xf>
    <xf numFmtId="4" fontId="2" fillId="5" borderId="13" xfId="0" applyNumberFormat="1" applyFont="1" applyFill="1" applyBorder="1" applyAlignment="1">
      <alignment horizontal="left" vertical="top"/>
    </xf>
    <xf numFmtId="4" fontId="2" fillId="5" borderId="13" xfId="0" applyNumberFormat="1" applyFont="1" applyFill="1" applyBorder="1" applyAlignment="1">
      <alignment vertical="top"/>
    </xf>
    <xf numFmtId="4" fontId="2" fillId="5" borderId="5" xfId="0" applyNumberFormat="1" applyFont="1" applyFill="1" applyBorder="1" applyAlignment="1">
      <alignment vertical="top"/>
    </xf>
    <xf numFmtId="164" fontId="2" fillId="7" borderId="5" xfId="0" applyNumberFormat="1" applyFont="1" applyFill="1" applyBorder="1" applyAlignment="1">
      <alignment vertical="top"/>
    </xf>
    <xf numFmtId="0" fontId="2" fillId="5" borderId="5" xfId="0" applyFont="1" applyFill="1" applyBorder="1" applyAlignment="1">
      <alignment vertical="top"/>
    </xf>
    <xf numFmtId="3" fontId="2" fillId="5" borderId="5" xfId="0" applyNumberFormat="1" applyFont="1" applyFill="1" applyBorder="1" applyAlignment="1">
      <alignment vertical="top"/>
    </xf>
    <xf numFmtId="1" fontId="7" fillId="5" borderId="13" xfId="0" applyNumberFormat="1" applyFont="1" applyFill="1" applyBorder="1" applyAlignment="1">
      <alignment vertical="top"/>
    </xf>
    <xf numFmtId="1" fontId="2" fillId="5" borderId="13" xfId="0" applyNumberFormat="1" applyFont="1" applyFill="1" applyBorder="1" applyAlignment="1">
      <alignment vertical="top"/>
    </xf>
    <xf numFmtId="164" fontId="2" fillId="5" borderId="13" xfId="0" applyNumberFormat="1" applyFont="1" applyFill="1" applyBorder="1" applyAlignment="1">
      <alignment vertical="top"/>
    </xf>
    <xf numFmtId="4" fontId="8" fillId="0" borderId="0" xfId="0" applyNumberFormat="1" applyFont="1" applyAlignment="1">
      <alignment horizontal="left"/>
    </xf>
    <xf numFmtId="3" fontId="2" fillId="5" borderId="13" xfId="0" applyNumberFormat="1" applyFont="1" applyFill="1" applyBorder="1" applyAlignment="1">
      <alignment vertical="top"/>
    </xf>
    <xf numFmtId="3" fontId="2" fillId="5" borderId="14" xfId="0" applyNumberFormat="1" applyFont="1" applyFill="1" applyBorder="1" applyAlignment="1">
      <alignment vertical="top"/>
    </xf>
    <xf numFmtId="4" fontId="2" fillId="0" borderId="9" xfId="0" applyNumberFormat="1" applyFont="1" applyBorder="1" applyAlignment="1">
      <alignment horizontal="left" vertical="top"/>
    </xf>
    <xf numFmtId="4" fontId="2" fillId="5" borderId="13" xfId="0" applyNumberFormat="1" applyFont="1" applyFill="1" applyBorder="1" applyAlignment="1">
      <alignment vertical="top"/>
    </xf>
    <xf numFmtId="4" fontId="10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left" vertical="center"/>
    </xf>
    <xf numFmtId="1" fontId="1" fillId="0" borderId="15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" fontId="11" fillId="0" borderId="17" xfId="0" applyNumberFormat="1" applyFont="1" applyBorder="1" applyAlignment="1">
      <alignment horizontal="left" vertical="center"/>
    </xf>
    <xf numFmtId="165" fontId="11" fillId="0" borderId="17" xfId="0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left" vertical="center" wrapText="1"/>
    </xf>
    <xf numFmtId="164" fontId="11" fillId="0" borderId="17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49" fontId="12" fillId="6" borderId="0" xfId="0" applyNumberFormat="1" applyFont="1" applyFill="1" applyAlignment="1"/>
    <xf numFmtId="0" fontId="11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left" vertical="center"/>
    </xf>
    <xf numFmtId="1" fontId="13" fillId="0" borderId="17" xfId="0" applyNumberFormat="1" applyFont="1" applyBorder="1" applyAlignment="1">
      <alignment horizontal="left" vertical="center"/>
    </xf>
    <xf numFmtId="4" fontId="11" fillId="0" borderId="17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1" fontId="11" fillId="0" borderId="17" xfId="0" applyNumberFormat="1" applyFont="1" applyBorder="1" applyAlignment="1">
      <alignment horizontal="left" vertical="center"/>
    </xf>
    <xf numFmtId="1" fontId="11" fillId="0" borderId="17" xfId="0" applyNumberFormat="1" applyFont="1" applyBorder="1" applyAlignment="1">
      <alignment horizontal="left" vertical="center" wrapText="1"/>
    </xf>
    <xf numFmtId="4" fontId="11" fillId="0" borderId="1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13" fillId="0" borderId="17" xfId="0" applyNumberFormat="1" applyFont="1" applyBorder="1" applyAlignment="1">
      <alignment horizontal="left" vertical="center" wrapText="1"/>
    </xf>
    <xf numFmtId="1" fontId="1" fillId="0" borderId="1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65" fontId="11" fillId="0" borderId="17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left" vertical="center"/>
    </xf>
    <xf numFmtId="165" fontId="11" fillId="0" borderId="17" xfId="0" applyNumberFormat="1" applyFont="1" applyBorder="1" applyAlignment="1">
      <alignment horizontal="center" vertical="center"/>
    </xf>
    <xf numFmtId="166" fontId="1" fillId="0" borderId="15" xfId="0" applyNumberFormat="1" applyFont="1" applyBorder="1" applyAlignment="1">
      <alignment horizontal="center" vertical="center" wrapText="1"/>
    </xf>
    <xf numFmtId="166" fontId="11" fillId="0" borderId="17" xfId="0" applyNumberFormat="1" applyFont="1" applyBorder="1" applyAlignment="1">
      <alignment horizontal="center" vertical="center"/>
    </xf>
    <xf numFmtId="166" fontId="11" fillId="0" borderId="1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/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19">
    <dxf>
      <font>
        <color theme="5"/>
      </font>
      <fill>
        <patternFill patternType="none"/>
      </fill>
    </dxf>
    <dxf>
      <font>
        <b/>
        <color rgb="FFFFFFFF"/>
      </font>
      <fill>
        <patternFill patternType="solid">
          <fgColor rgb="FF246E92"/>
          <bgColor rgb="FF246E92"/>
        </patternFill>
      </fill>
    </dxf>
    <dxf>
      <font>
        <color theme="5"/>
      </font>
      <fill>
        <patternFill patternType="none"/>
      </fill>
    </dxf>
    <dxf>
      <font>
        <b/>
        <color rgb="FFFFFFFF"/>
      </font>
      <fill>
        <patternFill patternType="solid">
          <fgColor rgb="FF246E92"/>
          <bgColor rgb="FF246E92"/>
        </patternFill>
      </fill>
    </dxf>
    <dxf>
      <font>
        <color theme="5"/>
      </font>
      <fill>
        <patternFill patternType="none"/>
      </fill>
    </dxf>
    <dxf>
      <font>
        <b/>
        <color rgb="FFFFFFFF"/>
      </font>
      <fill>
        <patternFill patternType="solid">
          <fgColor rgb="FF246E92"/>
          <bgColor rgb="FF246E92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E12C58"/>
          <bgColor rgb="FFE12C58"/>
        </patternFill>
      </fill>
    </dxf>
    <dxf>
      <fill>
        <patternFill patternType="solid">
          <fgColor rgb="FFE12C58"/>
          <bgColor rgb="FFE12C58"/>
        </patternFill>
      </fill>
    </dxf>
    <dxf>
      <fill>
        <patternFill patternType="solid">
          <fgColor rgb="FFE12C58"/>
          <bgColor rgb="FFE12C58"/>
        </patternFill>
      </fill>
    </dxf>
    <dxf>
      <fill>
        <patternFill patternType="solid">
          <fgColor rgb="FFD6EBF5"/>
          <bgColor rgb="FFD6EBF5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6EBF5"/>
          <bgColor rgb="FFD6EBF5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6EBF5"/>
          <bgColor rgb="FFD6EBF5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4">
    <tableStyle name="1C-style" pivot="0" count="3">
      <tableStyleElement type="headerRow" dxfId="18"/>
      <tableStyleElement type="firstRowStripe" dxfId="17"/>
      <tableStyleElement type="secondRowStripe" dxfId="16"/>
    </tableStyle>
    <tableStyle name="UA-style" pivot="0" count="2">
      <tableStyleElement type="firstRowStripe" dxfId="15"/>
      <tableStyleElement type="secondRowStripe" dxfId="14"/>
    </tableStyle>
    <tableStyle name="EN-style" pivot="0" count="2">
      <tableStyleElement type="firstRowStripe" dxfId="13"/>
      <tableStyleElement type="secondRowStripe" dxfId="12"/>
    </tableStyle>
    <tableStyle name="PL-style" pivot="0" count="2">
      <tableStyleElement type="firstRowStripe" dxfId="11"/>
      <tableStyleElement type="second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_1" displayName="Table_1" ref="A1:AA172">
  <tableColumns count="27">
    <tableColumn id="1" name="Категорія, укр"/>
    <tableColumn id="2" name="Найменування українською"/>
    <tableColumn id="3" name="Name"/>
    <tableColumn id="4" name="Вартість"/>
    <tableColumn id="5" name="Вартість, євро"/>
    <tableColumn id="6" name="Вартість, злотий"/>
    <tableColumn id="7" name="Артикул"/>
    <tableColumn id="8" name="УКТЗЕД"/>
    <tableColumn id="9" name="Штрих-код"/>
    <tableColumn id="10" name="Опис українською"/>
    <tableColumn id="11" name="Desription"/>
    <tableColumn id="12" name="Opis"/>
    <tableColumn id="13" name="Посилання, укр"/>
    <tableColumn id="14" name="Link"/>
    <tableColumn id="15" name="Odniesienie"/>
    <tableColumn id="16" name="Форм-фактор, укр"/>
    <tableColumn id="17" name="Form factor"/>
    <tableColumn id="18" name="Współczynnik kształtu"/>
    <tableColumn id="19" name="Розмір, DIN"/>
    <tableColumn id="20" name="Струм/Потужність, укр"/>
    <tableColumn id="21" name="Current/Power"/>
    <tableColumn id="22" name="Prąd/moc"/>
    <tableColumn id="23" name="Category"/>
    <tableColumn id="24" name="Kategoria"/>
    <tableColumn id="25" name="Вартість з 01.02.2023"/>
    <tableColumn id="26" name="Вартість, євро з 01.02.2023"/>
    <tableColumn id="27" name="Вартість, злотий з 01.02.2023"/>
  </tableColumns>
  <tableStyleInfo name="1C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A3:L200" headerRowCount="0">
  <tableColumns count="12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</tableColumns>
  <tableStyleInfo name="UA-style" showFirstColumn="1" showLastColumn="1" showRowStripes="1" showColumnStripes="0"/>
</table>
</file>

<file path=xl/tables/table3.xml><?xml version="1.0" encoding="utf-8"?>
<table xmlns="http://schemas.openxmlformats.org/spreadsheetml/2006/main" id="3" name="Table_3" displayName="Table_3" ref="A3:L200" headerRowCount="0">
  <tableColumns count="12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</tableColumns>
  <tableStyleInfo name="EN-style" showFirstColumn="1" showLastColumn="1" showRowStripes="1" showColumnStripes="0"/>
</table>
</file>

<file path=xl/tables/table4.xml><?xml version="1.0" encoding="utf-8"?>
<table xmlns="http://schemas.openxmlformats.org/spreadsheetml/2006/main" id="4" name="Table_4" displayName="Table_4" ref="A3:L200" headerRowCount="0">
  <tableColumns count="12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</tableColumns>
  <tableStyleInfo name="PL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ovatek-electro.com/product/mobilna-stanciya-reiestracii-parametriv-100/5.html" TargetMode="External"/><Relationship Id="rId13" Type="http://schemas.openxmlformats.org/officeDocument/2006/relationships/hyperlink" Target="https://novatek-electro.com/product/opcb-221.html" TargetMode="External"/><Relationship Id="rId18" Type="http://schemas.openxmlformats.org/officeDocument/2006/relationships/hyperlink" Target="https://novatek-electro.com/product/dzherelo-bezperebiynogo-elektrozhivle-5.html" TargetMode="External"/><Relationship Id="rId26" Type="http://schemas.openxmlformats.org/officeDocument/2006/relationships/hyperlink" Target="https://novatek-electro.com/product/dzherela-naprugi-postiynogo-strumu-ps.html" TargetMode="External"/><Relationship Id="rId3" Type="http://schemas.openxmlformats.org/officeDocument/2006/relationships/hyperlink" Target="https://novatek-electro.com/pl/product/czujnik-kolejnosci-faz-rn-35" TargetMode="External"/><Relationship Id="rId21" Type="http://schemas.openxmlformats.org/officeDocument/2006/relationships/hyperlink" Target="https://novatek-electro.com/product/dzherelo-bezperebiynogo-elektrozhivle-2.html" TargetMode="External"/><Relationship Id="rId7" Type="http://schemas.openxmlformats.org/officeDocument/2006/relationships/hyperlink" Target="https://novatek-electro.com/pl/product/automatyczny-przelacznik-faz-elektroniczny-pef-305" TargetMode="External"/><Relationship Id="rId12" Type="http://schemas.openxmlformats.org/officeDocument/2006/relationships/hyperlink" Target="https://novatek-electro.com/pl/product/wylacznik-zmierzchowy-mck-33" TargetMode="External"/><Relationship Id="rId17" Type="http://schemas.openxmlformats.org/officeDocument/2006/relationships/hyperlink" Target="https://novatek-electro.com/product/dzherelo-bezperebiynogo-elektrozhivle-6.html" TargetMode="External"/><Relationship Id="rId25" Type="http://schemas.openxmlformats.org/officeDocument/2006/relationships/hyperlink" Target="https://novatek-electro.com/product/avtomobilniy-invertor1000w.html" TargetMode="External"/><Relationship Id="rId2" Type="http://schemas.openxmlformats.org/officeDocument/2006/relationships/hyperlink" Target="https://novatek-electro.com/product/rele-rnpp-311-1.html" TargetMode="External"/><Relationship Id="rId16" Type="http://schemas.openxmlformats.org/officeDocument/2006/relationships/hyperlink" Target="https://novatek-electro.com/product/dzherelo-bezperebiynogo-elektrozhivle.html" TargetMode="External"/><Relationship Id="rId20" Type="http://schemas.openxmlformats.org/officeDocument/2006/relationships/hyperlink" Target="https://novatek-electro.com/product/dzherelo-bezperebiynogo-elektrozhivle-3.html" TargetMode="External"/><Relationship Id="rId29" Type="http://schemas.openxmlformats.org/officeDocument/2006/relationships/hyperlink" Target="https://novatek-electro.com/product/dzherela-naprugi-postiynogo-strumu-ps.html" TargetMode="External"/><Relationship Id="rId1" Type="http://schemas.openxmlformats.org/officeDocument/2006/relationships/hyperlink" Target="https://novatek-electro.com/product/trifazne-rele-naprugi-i-kontrolyu-faz-r-2.html" TargetMode="External"/><Relationship Id="rId6" Type="http://schemas.openxmlformats.org/officeDocument/2006/relationships/hyperlink" Target="https://novatek-electro.com/product/rv-123.html" TargetMode="External"/><Relationship Id="rId11" Type="http://schemas.openxmlformats.org/officeDocument/2006/relationships/hyperlink" Target="https://novatek-electro.com/product/mobilna-stanciya-reiestracii-parametriv-800/5.html" TargetMode="External"/><Relationship Id="rId24" Type="http://schemas.openxmlformats.org/officeDocument/2006/relationships/hyperlink" Target="https://novatek-electro.com/product/likhtar-prozhektor-z-vbudovanim-power-bank-40-vt.html" TargetMode="External"/><Relationship Id="rId5" Type="http://schemas.openxmlformats.org/officeDocument/2006/relationships/hyperlink" Target="https://novatek-electro.com/pl/product/2-kanalowy-przekaznik-czasowy-rev-201" TargetMode="External"/><Relationship Id="rId15" Type="http://schemas.openxmlformats.org/officeDocument/2006/relationships/hyperlink" Target="https://novatek-electro.com/en/product/rn-113-single-phase-voltage-monitoring-relay" TargetMode="External"/><Relationship Id="rId23" Type="http://schemas.openxmlformats.org/officeDocument/2006/relationships/hyperlink" Target="https://novatek-electro.com/product/likhtar-prozhektor-z-vbudovanim-power-bank-10-vt.html" TargetMode="External"/><Relationship Id="rId28" Type="http://schemas.openxmlformats.org/officeDocument/2006/relationships/hyperlink" Target="https://novatek-electro.com/product/dzherela-naprugi-postiynogo-strumu-ps.html" TargetMode="External"/><Relationship Id="rId10" Type="http://schemas.openxmlformats.org/officeDocument/2006/relationships/hyperlink" Target="https://novatek-electro.com/product/mobilna-stanciya-reiestracii-parametriv-400/5.html" TargetMode="External"/><Relationship Id="rId19" Type="http://schemas.openxmlformats.org/officeDocument/2006/relationships/hyperlink" Target="https://novatek-electro.com/product/dzherelo-bezperebiynogo-elektrozhivle-4.html" TargetMode="External"/><Relationship Id="rId31" Type="http://schemas.openxmlformats.org/officeDocument/2006/relationships/table" Target="../tables/table1.xml"/><Relationship Id="rId4" Type="http://schemas.openxmlformats.org/officeDocument/2006/relationships/hyperlink" Target="https://novatek-electro.com/product/programovaniy-astronomichniy-taymer.html" TargetMode="External"/><Relationship Id="rId9" Type="http://schemas.openxmlformats.org/officeDocument/2006/relationships/hyperlink" Target="https://novatek-electro.com/product/mobilna-stanciya-reiestracii-parametriv-200/5.html" TargetMode="External"/><Relationship Id="rId14" Type="http://schemas.openxmlformats.org/officeDocument/2006/relationships/hyperlink" Target="https://novatek-electro.com/product/odnofazne-rele-naprugi-rn-113.html" TargetMode="External"/><Relationship Id="rId22" Type="http://schemas.openxmlformats.org/officeDocument/2006/relationships/hyperlink" Target="https://novatek-electro.com/product/likhtar-poverbank-iz-sonyachnoyu-batareie.html" TargetMode="External"/><Relationship Id="rId27" Type="http://schemas.openxmlformats.org/officeDocument/2006/relationships/hyperlink" Target="https://novatek-electro.com/product/dzherela-naprugi-postiynogo-strumu-ps.html" TargetMode="External"/><Relationship Id="rId30" Type="http://schemas.openxmlformats.org/officeDocument/2006/relationships/hyperlink" Target="https://novatek-electro.com/product/overvis-lume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72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" customHeight="1"/>
  <cols>
    <col min="1" max="1" width="40.44140625" customWidth="1"/>
    <col min="2" max="2" width="23.5546875" customWidth="1"/>
    <col min="3" max="3" width="17.44140625" customWidth="1"/>
    <col min="4" max="4" width="18.6640625" customWidth="1"/>
    <col min="5" max="5" width="14.33203125" customWidth="1"/>
    <col min="6" max="6" width="17.33203125" customWidth="1"/>
    <col min="7" max="7" width="11.5546875" customWidth="1"/>
    <col min="8" max="8" width="12.109375" customWidth="1"/>
    <col min="9" max="9" width="15.44140625" customWidth="1"/>
    <col min="10" max="10" width="20.88671875" customWidth="1"/>
    <col min="11" max="11" width="17.5546875" customWidth="1"/>
    <col min="12" max="12" width="15.6640625" customWidth="1"/>
    <col min="13" max="13" width="14" customWidth="1"/>
    <col min="14" max="14" width="15" customWidth="1"/>
    <col min="15" max="15" width="14.5546875" customWidth="1"/>
    <col min="16" max="16" width="5.44140625" customWidth="1"/>
    <col min="17" max="17" width="5.5546875" customWidth="1"/>
    <col min="18" max="18" width="6" customWidth="1"/>
    <col min="19" max="19" width="4.33203125" customWidth="1"/>
    <col min="20" max="20" width="8.5546875" customWidth="1"/>
    <col min="21" max="21" width="10" customWidth="1"/>
    <col min="22" max="22" width="8" customWidth="1"/>
    <col min="23" max="23" width="26.109375" customWidth="1"/>
    <col min="24" max="24" width="43.33203125" customWidth="1"/>
    <col min="25" max="25" width="18.6640625" hidden="1" customWidth="1"/>
    <col min="26" max="26" width="14.33203125" hidden="1" customWidth="1"/>
    <col min="27" max="27" width="17.33203125" hidden="1" customWidth="1"/>
  </cols>
  <sheetData>
    <row r="1" spans="1:27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4" t="s">
        <v>23</v>
      </c>
      <c r="Y1" s="5" t="s">
        <v>24</v>
      </c>
      <c r="Z1" s="3" t="s">
        <v>25</v>
      </c>
      <c r="AA1" s="3" t="s">
        <v>26</v>
      </c>
    </row>
    <row r="2" spans="1:27">
      <c r="A2" s="6" t="s">
        <v>27</v>
      </c>
      <c r="B2" s="6" t="s">
        <v>28</v>
      </c>
      <c r="C2" s="7" t="s">
        <v>29</v>
      </c>
      <c r="D2" s="8">
        <v>1310</v>
      </c>
      <c r="E2" s="9">
        <v>33</v>
      </c>
      <c r="F2" s="9">
        <v>150</v>
      </c>
      <c r="G2" s="10" t="s">
        <v>30</v>
      </c>
      <c r="H2" s="11" t="s">
        <v>31</v>
      </c>
      <c r="I2" s="12">
        <v>4820122950412</v>
      </c>
      <c r="J2" s="7" t="s">
        <v>32</v>
      </c>
      <c r="K2" s="7" t="s">
        <v>33</v>
      </c>
      <c r="L2" s="7" t="s">
        <v>34</v>
      </c>
      <c r="M2" s="7" t="s">
        <v>35</v>
      </c>
      <c r="N2" s="7" t="s">
        <v>36</v>
      </c>
      <c r="O2" s="7" t="s">
        <v>37</v>
      </c>
      <c r="P2" s="10" t="s">
        <v>38</v>
      </c>
      <c r="Q2" s="10" t="s">
        <v>38</v>
      </c>
      <c r="R2" s="10" t="s">
        <v>38</v>
      </c>
      <c r="S2" s="12">
        <v>4</v>
      </c>
      <c r="T2" s="13" t="s">
        <v>39</v>
      </c>
      <c r="U2" s="13" t="s">
        <v>40</v>
      </c>
      <c r="V2" s="8" t="s">
        <v>41</v>
      </c>
      <c r="W2" s="12" t="s">
        <v>42</v>
      </c>
      <c r="X2" s="14" t="s">
        <v>43</v>
      </c>
      <c r="Y2" s="15">
        <v>1310</v>
      </c>
      <c r="Z2" s="9">
        <v>33</v>
      </c>
      <c r="AA2" s="9">
        <v>150</v>
      </c>
    </row>
    <row r="3" spans="1:27">
      <c r="A3" s="16" t="s">
        <v>27</v>
      </c>
      <c r="B3" s="16" t="s">
        <v>44</v>
      </c>
      <c r="C3" s="17" t="s">
        <v>45</v>
      </c>
      <c r="D3" s="9">
        <v>2055</v>
      </c>
      <c r="E3" s="9">
        <v>53</v>
      </c>
      <c r="F3" s="9">
        <v>240</v>
      </c>
      <c r="G3" s="18" t="s">
        <v>46</v>
      </c>
      <c r="H3" s="19" t="s">
        <v>31</v>
      </c>
      <c r="I3" s="20">
        <v>4820122950429</v>
      </c>
      <c r="J3" s="17" t="s">
        <v>47</v>
      </c>
      <c r="K3" s="17" t="s">
        <v>48</v>
      </c>
      <c r="L3" s="17" t="s">
        <v>49</v>
      </c>
      <c r="M3" s="17" t="s">
        <v>50</v>
      </c>
      <c r="N3" s="17" t="s">
        <v>51</v>
      </c>
      <c r="O3" s="17" t="s">
        <v>52</v>
      </c>
      <c r="P3" s="18" t="s">
        <v>38</v>
      </c>
      <c r="Q3" s="18" t="s">
        <v>38</v>
      </c>
      <c r="R3" s="18" t="s">
        <v>38</v>
      </c>
      <c r="S3" s="20">
        <v>4</v>
      </c>
      <c r="T3" s="21" t="s">
        <v>39</v>
      </c>
      <c r="U3" s="21" t="s">
        <v>40</v>
      </c>
      <c r="V3" s="21" t="s">
        <v>41</v>
      </c>
      <c r="W3" s="20" t="s">
        <v>42</v>
      </c>
      <c r="X3" s="22" t="s">
        <v>43</v>
      </c>
      <c r="Y3" s="23">
        <v>2055</v>
      </c>
      <c r="Z3" s="9">
        <v>53</v>
      </c>
      <c r="AA3" s="9">
        <v>240</v>
      </c>
    </row>
    <row r="4" spans="1:27">
      <c r="A4" s="16" t="s">
        <v>27</v>
      </c>
      <c r="B4" s="16" t="s">
        <v>53</v>
      </c>
      <c r="C4" s="16" t="s">
        <v>54</v>
      </c>
      <c r="D4" s="9">
        <v>2055</v>
      </c>
      <c r="E4" s="9">
        <v>53</v>
      </c>
      <c r="F4" s="9">
        <v>240</v>
      </c>
      <c r="G4" s="24" t="s">
        <v>55</v>
      </c>
      <c r="H4" s="19" t="s">
        <v>31</v>
      </c>
      <c r="I4" s="20"/>
      <c r="J4" s="17" t="s">
        <v>47</v>
      </c>
      <c r="K4" s="17" t="s">
        <v>48</v>
      </c>
      <c r="L4" s="17" t="s">
        <v>49</v>
      </c>
      <c r="M4" s="25" t="s">
        <v>56</v>
      </c>
      <c r="N4" s="17"/>
      <c r="O4" s="17"/>
      <c r="P4" s="18" t="s">
        <v>38</v>
      </c>
      <c r="Q4" s="18" t="s">
        <v>38</v>
      </c>
      <c r="R4" s="18" t="s">
        <v>38</v>
      </c>
      <c r="S4" s="26">
        <v>2</v>
      </c>
      <c r="T4" s="21" t="s">
        <v>39</v>
      </c>
      <c r="U4" s="21" t="s">
        <v>40</v>
      </c>
      <c r="V4" s="21" t="s">
        <v>41</v>
      </c>
      <c r="W4" s="20" t="s">
        <v>42</v>
      </c>
      <c r="X4" s="22" t="s">
        <v>43</v>
      </c>
      <c r="Y4" s="23">
        <v>2055</v>
      </c>
      <c r="Z4" s="9">
        <v>53</v>
      </c>
      <c r="AA4" s="9">
        <v>240</v>
      </c>
    </row>
    <row r="5" spans="1:27">
      <c r="A5" s="16" t="s">
        <v>27</v>
      </c>
      <c r="B5" s="16" t="s">
        <v>57</v>
      </c>
      <c r="C5" s="17" t="s">
        <v>58</v>
      </c>
      <c r="D5" s="9">
        <v>1070</v>
      </c>
      <c r="E5" s="9">
        <v>27</v>
      </c>
      <c r="F5" s="9">
        <v>125</v>
      </c>
      <c r="G5" s="18" t="s">
        <v>59</v>
      </c>
      <c r="H5" s="19" t="s">
        <v>31</v>
      </c>
      <c r="I5" s="20">
        <v>4820122950436</v>
      </c>
      <c r="J5" s="17" t="s">
        <v>60</v>
      </c>
      <c r="K5" s="17" t="s">
        <v>61</v>
      </c>
      <c r="L5" s="17" t="s">
        <v>62</v>
      </c>
      <c r="M5" s="27" t="s">
        <v>63</v>
      </c>
      <c r="N5" s="17" t="s">
        <v>64</v>
      </c>
      <c r="O5" s="17" t="s">
        <v>65</v>
      </c>
      <c r="P5" s="18" t="s">
        <v>38</v>
      </c>
      <c r="Q5" s="18" t="s">
        <v>38</v>
      </c>
      <c r="R5" s="18" t="s">
        <v>38</v>
      </c>
      <c r="S5" s="20">
        <v>2</v>
      </c>
      <c r="T5" s="21" t="s">
        <v>39</v>
      </c>
      <c r="U5" s="21" t="s">
        <v>40</v>
      </c>
      <c r="V5" s="21" t="s">
        <v>41</v>
      </c>
      <c r="W5" s="20" t="s">
        <v>42</v>
      </c>
      <c r="X5" s="22" t="s">
        <v>43</v>
      </c>
      <c r="Y5" s="23">
        <v>1070</v>
      </c>
      <c r="Z5" s="9">
        <v>27</v>
      </c>
      <c r="AA5" s="9">
        <v>125</v>
      </c>
    </row>
    <row r="6" spans="1:27">
      <c r="A6" s="16" t="s">
        <v>27</v>
      </c>
      <c r="B6" s="16" t="s">
        <v>66</v>
      </c>
      <c r="C6" s="17" t="s">
        <v>67</v>
      </c>
      <c r="D6" s="9">
        <v>1255</v>
      </c>
      <c r="E6" s="9">
        <v>32</v>
      </c>
      <c r="F6" s="9">
        <v>145</v>
      </c>
      <c r="G6" s="18" t="s">
        <v>68</v>
      </c>
      <c r="H6" s="19" t="s">
        <v>31</v>
      </c>
      <c r="I6" s="20">
        <v>4820122950443</v>
      </c>
      <c r="J6" s="17" t="s">
        <v>69</v>
      </c>
      <c r="K6" s="17" t="s">
        <v>70</v>
      </c>
      <c r="L6" s="17" t="s">
        <v>71</v>
      </c>
      <c r="M6" s="17" t="s">
        <v>72</v>
      </c>
      <c r="N6" s="17" t="s">
        <v>73</v>
      </c>
      <c r="O6" s="17" t="s">
        <v>74</v>
      </c>
      <c r="P6" s="18" t="s">
        <v>38</v>
      </c>
      <c r="Q6" s="18" t="s">
        <v>38</v>
      </c>
      <c r="R6" s="18" t="s">
        <v>38</v>
      </c>
      <c r="S6" s="20">
        <v>2</v>
      </c>
      <c r="T6" s="21" t="s">
        <v>39</v>
      </c>
      <c r="U6" s="21" t="s">
        <v>40</v>
      </c>
      <c r="V6" s="21" t="s">
        <v>41</v>
      </c>
      <c r="W6" s="20" t="s">
        <v>42</v>
      </c>
      <c r="X6" s="22" t="s">
        <v>43</v>
      </c>
      <c r="Y6" s="23">
        <v>1255</v>
      </c>
      <c r="Z6" s="9">
        <v>32</v>
      </c>
      <c r="AA6" s="9">
        <v>145</v>
      </c>
    </row>
    <row r="7" spans="1:27">
      <c r="A7" s="16" t="s">
        <v>27</v>
      </c>
      <c r="B7" s="16" t="s">
        <v>75</v>
      </c>
      <c r="C7" s="17" t="s">
        <v>76</v>
      </c>
      <c r="D7" s="9">
        <v>1265</v>
      </c>
      <c r="E7" s="9">
        <v>32</v>
      </c>
      <c r="F7" s="9">
        <v>145</v>
      </c>
      <c r="G7" s="18" t="s">
        <v>77</v>
      </c>
      <c r="H7" s="19" t="s">
        <v>31</v>
      </c>
      <c r="I7" s="20"/>
      <c r="J7" s="17" t="s">
        <v>78</v>
      </c>
      <c r="K7" s="17" t="s">
        <v>79</v>
      </c>
      <c r="L7" s="17" t="s">
        <v>80</v>
      </c>
      <c r="M7" s="17" t="s">
        <v>81</v>
      </c>
      <c r="N7" s="17"/>
      <c r="O7" s="17"/>
      <c r="P7" s="18" t="s">
        <v>38</v>
      </c>
      <c r="Q7" s="18" t="s">
        <v>38</v>
      </c>
      <c r="R7" s="18" t="s">
        <v>38</v>
      </c>
      <c r="S7" s="20">
        <v>2</v>
      </c>
      <c r="T7" s="21" t="s">
        <v>39</v>
      </c>
      <c r="U7" s="21" t="s">
        <v>40</v>
      </c>
      <c r="V7" s="21" t="s">
        <v>41</v>
      </c>
      <c r="W7" s="20" t="s">
        <v>42</v>
      </c>
      <c r="X7" s="22" t="s">
        <v>43</v>
      </c>
      <c r="Y7" s="23">
        <v>1265</v>
      </c>
      <c r="Z7" s="9">
        <v>32</v>
      </c>
      <c r="AA7" s="9">
        <v>145</v>
      </c>
    </row>
    <row r="8" spans="1:27">
      <c r="A8" s="16" t="s">
        <v>27</v>
      </c>
      <c r="B8" s="16" t="s">
        <v>82</v>
      </c>
      <c r="C8" s="17" t="s">
        <v>83</v>
      </c>
      <c r="D8" s="9">
        <v>1360</v>
      </c>
      <c r="E8" s="9">
        <v>35</v>
      </c>
      <c r="F8" s="9">
        <v>160</v>
      </c>
      <c r="G8" s="18" t="s">
        <v>84</v>
      </c>
      <c r="H8" s="19" t="s">
        <v>31</v>
      </c>
      <c r="I8" s="20">
        <v>4820122950450</v>
      </c>
      <c r="J8" s="17" t="s">
        <v>85</v>
      </c>
      <c r="K8" s="17" t="s">
        <v>86</v>
      </c>
      <c r="L8" s="17" t="s">
        <v>87</v>
      </c>
      <c r="M8" s="17" t="s">
        <v>88</v>
      </c>
      <c r="N8" s="17" t="s">
        <v>89</v>
      </c>
      <c r="O8" s="17" t="s">
        <v>90</v>
      </c>
      <c r="P8" s="18" t="s">
        <v>38</v>
      </c>
      <c r="Q8" s="18" t="s">
        <v>38</v>
      </c>
      <c r="R8" s="18" t="s">
        <v>38</v>
      </c>
      <c r="S8" s="20">
        <v>1</v>
      </c>
      <c r="T8" s="21" t="s">
        <v>39</v>
      </c>
      <c r="U8" s="21" t="s">
        <v>40</v>
      </c>
      <c r="V8" s="21" t="s">
        <v>41</v>
      </c>
      <c r="W8" s="20" t="s">
        <v>42</v>
      </c>
      <c r="X8" s="22" t="s">
        <v>43</v>
      </c>
      <c r="Y8" s="23">
        <v>1360</v>
      </c>
      <c r="Z8" s="9">
        <v>35</v>
      </c>
      <c r="AA8" s="9">
        <v>160</v>
      </c>
    </row>
    <row r="9" spans="1:27">
      <c r="A9" s="16" t="s">
        <v>27</v>
      </c>
      <c r="B9" s="16" t="s">
        <v>91</v>
      </c>
      <c r="C9" s="17" t="s">
        <v>92</v>
      </c>
      <c r="D9" s="9">
        <v>895</v>
      </c>
      <c r="E9" s="9">
        <v>23</v>
      </c>
      <c r="F9" s="9">
        <v>105</v>
      </c>
      <c r="G9" s="18" t="s">
        <v>93</v>
      </c>
      <c r="H9" s="19" t="s">
        <v>31</v>
      </c>
      <c r="I9" s="20"/>
      <c r="J9" s="17" t="s">
        <v>94</v>
      </c>
      <c r="K9" s="17" t="s">
        <v>95</v>
      </c>
      <c r="L9" s="17" t="s">
        <v>96</v>
      </c>
      <c r="M9" s="17" t="s">
        <v>97</v>
      </c>
      <c r="N9" s="17"/>
      <c r="O9" s="17"/>
      <c r="P9" s="18" t="s">
        <v>38</v>
      </c>
      <c r="Q9" s="18" t="s">
        <v>38</v>
      </c>
      <c r="R9" s="18" t="s">
        <v>38</v>
      </c>
      <c r="S9" s="20">
        <v>1</v>
      </c>
      <c r="T9" s="21" t="s">
        <v>39</v>
      </c>
      <c r="U9" s="21" t="s">
        <v>40</v>
      </c>
      <c r="V9" s="21" t="s">
        <v>41</v>
      </c>
      <c r="W9" s="20" t="s">
        <v>42</v>
      </c>
      <c r="X9" s="22" t="s">
        <v>43</v>
      </c>
      <c r="Y9" s="23">
        <v>895</v>
      </c>
      <c r="Z9" s="9">
        <v>23</v>
      </c>
      <c r="AA9" s="9">
        <v>105</v>
      </c>
    </row>
    <row r="10" spans="1:27">
      <c r="A10" s="16" t="s">
        <v>27</v>
      </c>
      <c r="B10" s="16" t="s">
        <v>98</v>
      </c>
      <c r="C10" s="17" t="s">
        <v>99</v>
      </c>
      <c r="D10" s="9">
        <v>2045</v>
      </c>
      <c r="E10" s="9">
        <v>52</v>
      </c>
      <c r="F10" s="9">
        <v>235</v>
      </c>
      <c r="G10" s="28" t="s">
        <v>100</v>
      </c>
      <c r="H10" s="19" t="s">
        <v>31</v>
      </c>
      <c r="I10" s="20"/>
      <c r="J10" s="17" t="s">
        <v>101</v>
      </c>
      <c r="K10" s="17" t="s">
        <v>102</v>
      </c>
      <c r="L10" s="17" t="s">
        <v>103</v>
      </c>
      <c r="M10" s="17"/>
      <c r="N10" s="17"/>
      <c r="O10" s="17"/>
      <c r="P10" s="18" t="s">
        <v>38</v>
      </c>
      <c r="Q10" s="18" t="s">
        <v>38</v>
      </c>
      <c r="R10" s="18" t="s">
        <v>38</v>
      </c>
      <c r="S10" s="20">
        <v>1</v>
      </c>
      <c r="T10" s="21" t="s">
        <v>39</v>
      </c>
      <c r="U10" s="21" t="s">
        <v>40</v>
      </c>
      <c r="V10" s="21" t="s">
        <v>41</v>
      </c>
      <c r="W10" s="20" t="s">
        <v>42</v>
      </c>
      <c r="X10" s="22" t="s">
        <v>43</v>
      </c>
      <c r="Y10" s="23">
        <v>2045</v>
      </c>
      <c r="Z10" s="9">
        <v>52</v>
      </c>
      <c r="AA10" s="9">
        <v>235</v>
      </c>
    </row>
    <row r="11" spans="1:27">
      <c r="A11" s="16" t="s">
        <v>27</v>
      </c>
      <c r="B11" s="16" t="s">
        <v>104</v>
      </c>
      <c r="C11" s="17" t="s">
        <v>105</v>
      </c>
      <c r="D11" s="9">
        <v>1430</v>
      </c>
      <c r="E11" s="9">
        <v>37</v>
      </c>
      <c r="F11" s="9">
        <v>165</v>
      </c>
      <c r="G11" s="18" t="s">
        <v>106</v>
      </c>
      <c r="H11" s="19" t="s">
        <v>31</v>
      </c>
      <c r="I11" s="20"/>
      <c r="J11" s="17" t="s">
        <v>107</v>
      </c>
      <c r="K11" s="17" t="s">
        <v>108</v>
      </c>
      <c r="L11" s="17" t="s">
        <v>109</v>
      </c>
      <c r="M11" s="17" t="s">
        <v>110</v>
      </c>
      <c r="N11" s="17"/>
      <c r="O11" s="17" t="s">
        <v>111</v>
      </c>
      <c r="P11" s="18" t="s">
        <v>38</v>
      </c>
      <c r="Q11" s="18" t="s">
        <v>38</v>
      </c>
      <c r="R11" s="18" t="s">
        <v>38</v>
      </c>
      <c r="S11" s="20">
        <v>2</v>
      </c>
      <c r="T11" s="21" t="s">
        <v>39</v>
      </c>
      <c r="U11" s="21" t="s">
        <v>40</v>
      </c>
      <c r="V11" s="21" t="s">
        <v>41</v>
      </c>
      <c r="W11" s="20" t="s">
        <v>42</v>
      </c>
      <c r="X11" s="22" t="s">
        <v>43</v>
      </c>
      <c r="Y11" s="29">
        <v>1575</v>
      </c>
      <c r="Z11" s="30">
        <f>ROUNDUP(Y11/39,)</f>
        <v>41</v>
      </c>
      <c r="AA11" s="30">
        <v>170</v>
      </c>
    </row>
    <row r="12" spans="1:27">
      <c r="A12" s="16" t="s">
        <v>27</v>
      </c>
      <c r="B12" s="16" t="s">
        <v>112</v>
      </c>
      <c r="C12" s="17" t="s">
        <v>113</v>
      </c>
      <c r="D12" s="9">
        <v>290</v>
      </c>
      <c r="E12" s="9">
        <v>7</v>
      </c>
      <c r="F12" s="9">
        <v>35</v>
      </c>
      <c r="G12" s="18" t="s">
        <v>114</v>
      </c>
      <c r="H12" s="19" t="s">
        <v>31</v>
      </c>
      <c r="I12" s="20"/>
      <c r="J12" s="17" t="s">
        <v>115</v>
      </c>
      <c r="K12" s="17" t="s">
        <v>116</v>
      </c>
      <c r="L12" s="17" t="s">
        <v>117</v>
      </c>
      <c r="M12" s="17" t="s">
        <v>118</v>
      </c>
      <c r="N12" s="17" t="s">
        <v>119</v>
      </c>
      <c r="O12" s="17" t="s">
        <v>120</v>
      </c>
      <c r="P12" s="18" t="s">
        <v>38</v>
      </c>
      <c r="Q12" s="18" t="s">
        <v>38</v>
      </c>
      <c r="R12" s="18" t="s">
        <v>38</v>
      </c>
      <c r="S12" s="20">
        <v>1</v>
      </c>
      <c r="T12" s="21" t="s">
        <v>121</v>
      </c>
      <c r="U12" s="21" t="s">
        <v>121</v>
      </c>
      <c r="V12" s="21" t="s">
        <v>121</v>
      </c>
      <c r="W12" s="20" t="s">
        <v>42</v>
      </c>
      <c r="X12" s="22" t="s">
        <v>43</v>
      </c>
      <c r="Y12" s="23">
        <v>290</v>
      </c>
      <c r="Z12" s="9">
        <v>7</v>
      </c>
      <c r="AA12" s="9">
        <v>35</v>
      </c>
    </row>
    <row r="13" spans="1:27">
      <c r="A13" s="16" t="s">
        <v>27</v>
      </c>
      <c r="B13" s="16" t="s">
        <v>122</v>
      </c>
      <c r="C13" s="16" t="s">
        <v>123</v>
      </c>
      <c r="D13" s="21" t="s">
        <v>121</v>
      </c>
      <c r="E13" s="9" t="s">
        <v>121</v>
      </c>
      <c r="F13" s="9">
        <v>92.5</v>
      </c>
      <c r="G13" s="28" t="s">
        <v>121</v>
      </c>
      <c r="H13" s="31" t="s">
        <v>121</v>
      </c>
      <c r="I13" s="20"/>
      <c r="J13" s="16" t="s">
        <v>121</v>
      </c>
      <c r="K13" s="17" t="s">
        <v>116</v>
      </c>
      <c r="L13" s="16" t="s">
        <v>124</v>
      </c>
      <c r="M13" s="16"/>
      <c r="N13" s="16"/>
      <c r="O13" s="32" t="s">
        <v>125</v>
      </c>
      <c r="P13" s="18" t="s">
        <v>38</v>
      </c>
      <c r="Q13" s="18" t="s">
        <v>38</v>
      </c>
      <c r="R13" s="18" t="s">
        <v>38</v>
      </c>
      <c r="S13" s="20">
        <v>1</v>
      </c>
      <c r="T13" s="9" t="s">
        <v>126</v>
      </c>
      <c r="U13" s="9" t="s">
        <v>126</v>
      </c>
      <c r="V13" s="9" t="s">
        <v>126</v>
      </c>
      <c r="W13" s="20" t="s">
        <v>42</v>
      </c>
      <c r="X13" s="22" t="s">
        <v>43</v>
      </c>
      <c r="Y13" s="33" t="s">
        <v>121</v>
      </c>
      <c r="Z13" s="9" t="s">
        <v>121</v>
      </c>
      <c r="AA13" s="9">
        <v>92.5</v>
      </c>
    </row>
    <row r="14" spans="1:27">
      <c r="A14" s="19" t="s">
        <v>127</v>
      </c>
      <c r="B14" s="16" t="s">
        <v>128</v>
      </c>
      <c r="C14" s="17" t="s">
        <v>129</v>
      </c>
      <c r="D14" s="9">
        <v>1795</v>
      </c>
      <c r="E14" s="9">
        <v>46</v>
      </c>
      <c r="F14" s="9">
        <v>210</v>
      </c>
      <c r="G14" s="18" t="s">
        <v>130</v>
      </c>
      <c r="H14" s="19" t="s">
        <v>31</v>
      </c>
      <c r="I14" s="20">
        <v>4820122950467</v>
      </c>
      <c r="J14" s="19" t="s">
        <v>131</v>
      </c>
      <c r="K14" s="19" t="s">
        <v>132</v>
      </c>
      <c r="L14" s="19" t="s">
        <v>133</v>
      </c>
      <c r="M14" s="19" t="s">
        <v>134</v>
      </c>
      <c r="N14" s="19" t="s">
        <v>135</v>
      </c>
      <c r="O14" s="19" t="s">
        <v>136</v>
      </c>
      <c r="P14" s="18" t="s">
        <v>38</v>
      </c>
      <c r="Q14" s="18" t="s">
        <v>38</v>
      </c>
      <c r="R14" s="18" t="s">
        <v>38</v>
      </c>
      <c r="S14" s="20">
        <v>2</v>
      </c>
      <c r="T14" s="21" t="s">
        <v>137</v>
      </c>
      <c r="U14" s="21" t="s">
        <v>137</v>
      </c>
      <c r="V14" s="21" t="s">
        <v>137</v>
      </c>
      <c r="W14" s="20" t="s">
        <v>138</v>
      </c>
      <c r="X14" s="22" t="s">
        <v>139</v>
      </c>
      <c r="Y14" s="34">
        <v>2245</v>
      </c>
      <c r="Z14" s="35">
        <f>ROUNDUP(Y14/39,)</f>
        <v>58</v>
      </c>
      <c r="AA14" s="35">
        <v>285</v>
      </c>
    </row>
    <row r="15" spans="1:27">
      <c r="A15" s="17" t="s">
        <v>127</v>
      </c>
      <c r="B15" s="16" t="s">
        <v>140</v>
      </c>
      <c r="C15" s="17" t="s">
        <v>141</v>
      </c>
      <c r="D15" s="21" t="s">
        <v>142</v>
      </c>
      <c r="E15" s="21" t="s">
        <v>143</v>
      </c>
      <c r="F15" s="21" t="s">
        <v>144</v>
      </c>
      <c r="G15" s="28" t="s">
        <v>145</v>
      </c>
      <c r="H15" s="19" t="s">
        <v>31</v>
      </c>
      <c r="I15" s="20"/>
      <c r="J15" s="17" t="s">
        <v>146</v>
      </c>
      <c r="K15" s="17" t="s">
        <v>147</v>
      </c>
      <c r="L15" s="17" t="s">
        <v>148</v>
      </c>
      <c r="M15" s="17" t="s">
        <v>149</v>
      </c>
      <c r="N15" s="17" t="s">
        <v>150</v>
      </c>
      <c r="O15" s="17" t="s">
        <v>151</v>
      </c>
      <c r="P15" s="18" t="s">
        <v>38</v>
      </c>
      <c r="Q15" s="18" t="s">
        <v>38</v>
      </c>
      <c r="R15" s="18" t="s">
        <v>38</v>
      </c>
      <c r="S15" s="20">
        <v>3</v>
      </c>
      <c r="T15" s="21" t="s">
        <v>137</v>
      </c>
      <c r="U15" s="21" t="s">
        <v>137</v>
      </c>
      <c r="V15" s="21" t="s">
        <v>137</v>
      </c>
      <c r="W15" s="20" t="s">
        <v>138</v>
      </c>
      <c r="X15" s="22" t="s">
        <v>139</v>
      </c>
      <c r="Y15" s="33" t="s">
        <v>142</v>
      </c>
      <c r="Z15" s="21" t="s">
        <v>143</v>
      </c>
      <c r="AA15" s="21" t="s">
        <v>144</v>
      </c>
    </row>
    <row r="16" spans="1:27">
      <c r="A16" s="17" t="s">
        <v>127</v>
      </c>
      <c r="B16" s="16" t="s">
        <v>152</v>
      </c>
      <c r="C16" s="17" t="s">
        <v>153</v>
      </c>
      <c r="D16" s="9">
        <v>2890</v>
      </c>
      <c r="E16" s="9">
        <v>74</v>
      </c>
      <c r="F16" s="9">
        <v>335</v>
      </c>
      <c r="G16" s="18" t="s">
        <v>154</v>
      </c>
      <c r="H16" s="19" t="s">
        <v>31</v>
      </c>
      <c r="I16" s="20">
        <v>4820122950474</v>
      </c>
      <c r="J16" s="17" t="s">
        <v>155</v>
      </c>
      <c r="K16" s="17" t="s">
        <v>156</v>
      </c>
      <c r="L16" s="17" t="s">
        <v>157</v>
      </c>
      <c r="M16" s="17" t="s">
        <v>158</v>
      </c>
      <c r="N16" s="17" t="s">
        <v>159</v>
      </c>
      <c r="O16" s="17" t="s">
        <v>160</v>
      </c>
      <c r="P16" s="18" t="s">
        <v>38</v>
      </c>
      <c r="Q16" s="18" t="s">
        <v>38</v>
      </c>
      <c r="R16" s="18" t="s">
        <v>38</v>
      </c>
      <c r="S16" s="20">
        <v>3</v>
      </c>
      <c r="T16" s="21" t="s">
        <v>137</v>
      </c>
      <c r="U16" s="21" t="s">
        <v>137</v>
      </c>
      <c r="V16" s="21" t="s">
        <v>137</v>
      </c>
      <c r="W16" s="20" t="s">
        <v>138</v>
      </c>
      <c r="X16" s="22" t="s">
        <v>139</v>
      </c>
      <c r="Y16" s="34">
        <v>3615</v>
      </c>
      <c r="Z16" s="35">
        <f t="shared" ref="Z16:Z18" si="0">ROUNDUP(Y16/39,)</f>
        <v>93</v>
      </c>
      <c r="AA16" s="35">
        <v>385</v>
      </c>
    </row>
    <row r="17" spans="1:27">
      <c r="A17" s="17" t="s">
        <v>127</v>
      </c>
      <c r="B17" s="16" t="s">
        <v>161</v>
      </c>
      <c r="C17" s="17" t="s">
        <v>162</v>
      </c>
      <c r="D17" s="9">
        <v>1915</v>
      </c>
      <c r="E17" s="9">
        <v>49</v>
      </c>
      <c r="F17" s="9">
        <v>220</v>
      </c>
      <c r="G17" s="18" t="s">
        <v>163</v>
      </c>
      <c r="H17" s="19" t="s">
        <v>31</v>
      </c>
      <c r="I17" s="20">
        <v>4820122950542</v>
      </c>
      <c r="J17" s="17" t="s">
        <v>164</v>
      </c>
      <c r="K17" s="17" t="s">
        <v>165</v>
      </c>
      <c r="L17" s="17" t="s">
        <v>166</v>
      </c>
      <c r="M17" s="17" t="s">
        <v>167</v>
      </c>
      <c r="N17" s="17" t="s">
        <v>168</v>
      </c>
      <c r="O17" s="17" t="s">
        <v>169</v>
      </c>
      <c r="P17" s="18" t="s">
        <v>38</v>
      </c>
      <c r="Q17" s="18" t="s">
        <v>38</v>
      </c>
      <c r="R17" s="18" t="s">
        <v>38</v>
      </c>
      <c r="S17" s="20">
        <v>2</v>
      </c>
      <c r="T17" s="21" t="s">
        <v>137</v>
      </c>
      <c r="U17" s="21" t="s">
        <v>137</v>
      </c>
      <c r="V17" s="21" t="s">
        <v>137</v>
      </c>
      <c r="W17" s="20" t="s">
        <v>138</v>
      </c>
      <c r="X17" s="22" t="s">
        <v>139</v>
      </c>
      <c r="Y17" s="34">
        <v>2395</v>
      </c>
      <c r="Z17" s="35">
        <f t="shared" si="0"/>
        <v>62</v>
      </c>
      <c r="AA17" s="35">
        <v>255</v>
      </c>
    </row>
    <row r="18" spans="1:27">
      <c r="A18" s="17" t="s">
        <v>127</v>
      </c>
      <c r="B18" s="16" t="s">
        <v>170</v>
      </c>
      <c r="C18" s="17" t="s">
        <v>171</v>
      </c>
      <c r="D18" s="9">
        <v>1865</v>
      </c>
      <c r="E18" s="9">
        <v>48</v>
      </c>
      <c r="F18" s="9">
        <v>215</v>
      </c>
      <c r="G18" s="18" t="s">
        <v>172</v>
      </c>
      <c r="H18" s="31" t="s">
        <v>173</v>
      </c>
      <c r="I18" s="20">
        <v>4820122950535</v>
      </c>
      <c r="J18" s="17" t="s">
        <v>174</v>
      </c>
      <c r="K18" s="17" t="s">
        <v>175</v>
      </c>
      <c r="L18" s="17" t="s">
        <v>176</v>
      </c>
      <c r="M18" s="27" t="s">
        <v>177</v>
      </c>
      <c r="N18" s="17" t="s">
        <v>178</v>
      </c>
      <c r="O18" s="17" t="s">
        <v>179</v>
      </c>
      <c r="P18" s="18" t="s">
        <v>38</v>
      </c>
      <c r="Q18" s="18" t="s">
        <v>38</v>
      </c>
      <c r="R18" s="18" t="s">
        <v>38</v>
      </c>
      <c r="S18" s="20">
        <v>1</v>
      </c>
      <c r="T18" s="21" t="s">
        <v>180</v>
      </c>
      <c r="U18" s="21" t="s">
        <v>180</v>
      </c>
      <c r="V18" s="21" t="s">
        <v>180</v>
      </c>
      <c r="W18" s="20" t="s">
        <v>138</v>
      </c>
      <c r="X18" s="22" t="s">
        <v>139</v>
      </c>
      <c r="Y18" s="34">
        <v>2330</v>
      </c>
      <c r="Z18" s="35">
        <f t="shared" si="0"/>
        <v>60</v>
      </c>
      <c r="AA18" s="35">
        <v>250</v>
      </c>
    </row>
    <row r="19" spans="1:27">
      <c r="A19" s="17" t="s">
        <v>181</v>
      </c>
      <c r="B19" s="16" t="s">
        <v>182</v>
      </c>
      <c r="C19" s="17" t="s">
        <v>183</v>
      </c>
      <c r="D19" s="21" t="s">
        <v>142</v>
      </c>
      <c r="E19" s="21" t="s">
        <v>143</v>
      </c>
      <c r="F19" s="21" t="s">
        <v>144</v>
      </c>
      <c r="G19" s="28" t="s">
        <v>184</v>
      </c>
      <c r="H19" s="19" t="s">
        <v>31</v>
      </c>
      <c r="I19" s="20"/>
      <c r="J19" s="17" t="s">
        <v>185</v>
      </c>
      <c r="K19" s="17" t="s">
        <v>186</v>
      </c>
      <c r="L19" s="17" t="s">
        <v>187</v>
      </c>
      <c r="M19" s="17" t="s">
        <v>188</v>
      </c>
      <c r="N19" s="17"/>
      <c r="O19" s="25" t="s">
        <v>189</v>
      </c>
      <c r="P19" s="18" t="s">
        <v>38</v>
      </c>
      <c r="Q19" s="18" t="s">
        <v>38</v>
      </c>
      <c r="R19" s="18" t="s">
        <v>38</v>
      </c>
      <c r="S19" s="20">
        <v>3</v>
      </c>
      <c r="T19" s="21" t="s">
        <v>137</v>
      </c>
      <c r="U19" s="21" t="s">
        <v>137</v>
      </c>
      <c r="V19" s="21" t="s">
        <v>137</v>
      </c>
      <c r="W19" s="20" t="s">
        <v>190</v>
      </c>
      <c r="X19" s="22" t="s">
        <v>191</v>
      </c>
      <c r="Y19" s="33" t="s">
        <v>142</v>
      </c>
      <c r="Z19" s="21" t="s">
        <v>143</v>
      </c>
      <c r="AA19" s="21" t="s">
        <v>144</v>
      </c>
    </row>
    <row r="20" spans="1:27">
      <c r="A20" s="17" t="s">
        <v>181</v>
      </c>
      <c r="B20" s="16" t="s">
        <v>192</v>
      </c>
      <c r="C20" s="17" t="s">
        <v>193</v>
      </c>
      <c r="D20" s="9">
        <v>1380</v>
      </c>
      <c r="E20" s="9">
        <v>35</v>
      </c>
      <c r="F20" s="9">
        <v>160</v>
      </c>
      <c r="G20" s="18" t="s">
        <v>194</v>
      </c>
      <c r="H20" s="19" t="s">
        <v>31</v>
      </c>
      <c r="I20" s="20">
        <v>4820122950481</v>
      </c>
      <c r="J20" s="17" t="s">
        <v>195</v>
      </c>
      <c r="K20" s="17" t="s">
        <v>196</v>
      </c>
      <c r="L20" s="17" t="s">
        <v>197</v>
      </c>
      <c r="M20" s="17" t="s">
        <v>198</v>
      </c>
      <c r="N20" s="17" t="s">
        <v>199</v>
      </c>
      <c r="O20" s="17" t="s">
        <v>200</v>
      </c>
      <c r="P20" s="18" t="s">
        <v>38</v>
      </c>
      <c r="Q20" s="18" t="s">
        <v>38</v>
      </c>
      <c r="R20" s="18" t="s">
        <v>38</v>
      </c>
      <c r="S20" s="20">
        <v>2</v>
      </c>
      <c r="T20" s="21" t="s">
        <v>137</v>
      </c>
      <c r="U20" s="21" t="s">
        <v>137</v>
      </c>
      <c r="V20" s="21" t="s">
        <v>137</v>
      </c>
      <c r="W20" s="20" t="s">
        <v>190</v>
      </c>
      <c r="X20" s="22" t="s">
        <v>191</v>
      </c>
      <c r="Y20" s="23">
        <v>1380</v>
      </c>
      <c r="Z20" s="9">
        <v>35</v>
      </c>
      <c r="AA20" s="9">
        <v>160</v>
      </c>
    </row>
    <row r="21" spans="1:27">
      <c r="A21" s="17" t="s">
        <v>181</v>
      </c>
      <c r="B21" s="16" t="s">
        <v>201</v>
      </c>
      <c r="C21" s="17" t="s">
        <v>202</v>
      </c>
      <c r="D21" s="9">
        <v>845</v>
      </c>
      <c r="E21" s="9">
        <v>22</v>
      </c>
      <c r="F21" s="9">
        <v>100</v>
      </c>
      <c r="G21" s="18" t="s">
        <v>203</v>
      </c>
      <c r="H21" s="19" t="s">
        <v>31</v>
      </c>
      <c r="I21" s="20"/>
      <c r="J21" s="17" t="s">
        <v>204</v>
      </c>
      <c r="K21" s="17" t="s">
        <v>205</v>
      </c>
      <c r="L21" s="17" t="s">
        <v>206</v>
      </c>
      <c r="M21" s="25" t="s">
        <v>207</v>
      </c>
      <c r="N21" s="17"/>
      <c r="O21" s="17"/>
      <c r="P21" s="18" t="s">
        <v>38</v>
      </c>
      <c r="Q21" s="18" t="s">
        <v>38</v>
      </c>
      <c r="R21" s="18" t="s">
        <v>38</v>
      </c>
      <c r="S21" s="20">
        <v>1</v>
      </c>
      <c r="T21" s="21"/>
      <c r="U21" s="21"/>
      <c r="V21" s="21"/>
      <c r="W21" s="20" t="s">
        <v>190</v>
      </c>
      <c r="X21" s="22" t="s">
        <v>191</v>
      </c>
      <c r="Y21" s="29">
        <v>930</v>
      </c>
      <c r="Z21" s="30">
        <f>ROUNDUP(Y21/39,)</f>
        <v>24</v>
      </c>
      <c r="AA21" s="30">
        <v>100</v>
      </c>
    </row>
    <row r="22" spans="1:27">
      <c r="A22" s="17" t="s">
        <v>181</v>
      </c>
      <c r="B22" s="16" t="s">
        <v>208</v>
      </c>
      <c r="C22" s="17" t="s">
        <v>209</v>
      </c>
      <c r="D22" s="9">
        <v>1045</v>
      </c>
      <c r="E22" s="9">
        <v>27</v>
      </c>
      <c r="F22" s="9">
        <v>120</v>
      </c>
      <c r="G22" s="18" t="s">
        <v>210</v>
      </c>
      <c r="H22" s="19" t="s">
        <v>31</v>
      </c>
      <c r="I22" s="20">
        <v>4820122950504</v>
      </c>
      <c r="J22" s="17" t="s">
        <v>211</v>
      </c>
      <c r="K22" s="17" t="s">
        <v>212</v>
      </c>
      <c r="L22" s="17" t="s">
        <v>213</v>
      </c>
      <c r="M22" s="17" t="s">
        <v>214</v>
      </c>
      <c r="N22" s="17" t="s">
        <v>215</v>
      </c>
      <c r="O22" s="17" t="s">
        <v>216</v>
      </c>
      <c r="P22" s="18" t="s">
        <v>38</v>
      </c>
      <c r="Q22" s="18" t="s">
        <v>38</v>
      </c>
      <c r="R22" s="18" t="s">
        <v>38</v>
      </c>
      <c r="S22" s="20">
        <v>1</v>
      </c>
      <c r="T22" s="21" t="s">
        <v>217</v>
      </c>
      <c r="U22" s="21" t="s">
        <v>217</v>
      </c>
      <c r="V22" s="21" t="s">
        <v>217</v>
      </c>
      <c r="W22" s="20" t="s">
        <v>190</v>
      </c>
      <c r="X22" s="22" t="s">
        <v>191</v>
      </c>
      <c r="Y22" s="23">
        <v>1045</v>
      </c>
      <c r="Z22" s="9">
        <v>27</v>
      </c>
      <c r="AA22" s="9">
        <v>120</v>
      </c>
    </row>
    <row r="23" spans="1:27">
      <c r="A23" s="17" t="s">
        <v>181</v>
      </c>
      <c r="B23" s="16" t="s">
        <v>218</v>
      </c>
      <c r="C23" s="17" t="s">
        <v>219</v>
      </c>
      <c r="D23" s="9">
        <v>880</v>
      </c>
      <c r="E23" s="9">
        <v>23</v>
      </c>
      <c r="F23" s="9">
        <v>110</v>
      </c>
      <c r="G23" s="18" t="s">
        <v>220</v>
      </c>
      <c r="H23" s="19" t="s">
        <v>31</v>
      </c>
      <c r="I23" s="20"/>
      <c r="J23" s="17" t="s">
        <v>221</v>
      </c>
      <c r="K23" s="17" t="s">
        <v>222</v>
      </c>
      <c r="L23" s="17" t="s">
        <v>223</v>
      </c>
      <c r="M23" s="17" t="s">
        <v>224</v>
      </c>
      <c r="N23" s="17"/>
      <c r="O23" s="17"/>
      <c r="P23" s="18" t="s">
        <v>38</v>
      </c>
      <c r="Q23" s="18" t="s">
        <v>38</v>
      </c>
      <c r="R23" s="18" t="s">
        <v>38</v>
      </c>
      <c r="S23" s="20">
        <v>1</v>
      </c>
      <c r="T23" s="21" t="s">
        <v>217</v>
      </c>
      <c r="U23" s="21" t="s">
        <v>217</v>
      </c>
      <c r="V23" s="21" t="s">
        <v>217</v>
      </c>
      <c r="W23" s="20" t="s">
        <v>190</v>
      </c>
      <c r="X23" s="22" t="s">
        <v>191</v>
      </c>
      <c r="Y23" s="23">
        <v>880</v>
      </c>
      <c r="Z23" s="9">
        <v>23</v>
      </c>
      <c r="AA23" s="9">
        <v>110</v>
      </c>
    </row>
    <row r="24" spans="1:27">
      <c r="A24" s="17" t="s">
        <v>181</v>
      </c>
      <c r="B24" s="16" t="s">
        <v>225</v>
      </c>
      <c r="C24" s="17" t="s">
        <v>226</v>
      </c>
      <c r="D24" s="9">
        <v>1045</v>
      </c>
      <c r="E24" s="9">
        <v>27</v>
      </c>
      <c r="F24" s="9">
        <v>120</v>
      </c>
      <c r="G24" s="18" t="s">
        <v>227</v>
      </c>
      <c r="H24" s="19" t="s">
        <v>31</v>
      </c>
      <c r="I24" s="20">
        <v>4820122950559</v>
      </c>
      <c r="J24" s="17" t="s">
        <v>228</v>
      </c>
      <c r="K24" s="17" t="s">
        <v>229</v>
      </c>
      <c r="L24" s="17" t="s">
        <v>230</v>
      </c>
      <c r="M24" s="17" t="s">
        <v>231</v>
      </c>
      <c r="N24" s="17"/>
      <c r="O24" s="17" t="s">
        <v>232</v>
      </c>
      <c r="P24" s="18" t="s">
        <v>38</v>
      </c>
      <c r="Q24" s="18" t="s">
        <v>38</v>
      </c>
      <c r="R24" s="18" t="s">
        <v>38</v>
      </c>
      <c r="S24" s="20">
        <v>1</v>
      </c>
      <c r="T24" s="21" t="s">
        <v>217</v>
      </c>
      <c r="U24" s="21" t="s">
        <v>217</v>
      </c>
      <c r="V24" s="21" t="s">
        <v>217</v>
      </c>
      <c r="W24" s="20" t="s">
        <v>190</v>
      </c>
      <c r="X24" s="22" t="s">
        <v>191</v>
      </c>
      <c r="Y24" s="23">
        <v>1045</v>
      </c>
      <c r="Z24" s="9">
        <v>27</v>
      </c>
      <c r="AA24" s="9">
        <v>120</v>
      </c>
    </row>
    <row r="25" spans="1:27">
      <c r="A25" s="17" t="s">
        <v>181</v>
      </c>
      <c r="B25" s="16" t="s">
        <v>233</v>
      </c>
      <c r="C25" s="17" t="s">
        <v>234</v>
      </c>
      <c r="D25" s="9">
        <v>970</v>
      </c>
      <c r="E25" s="9">
        <v>25</v>
      </c>
      <c r="F25" s="9">
        <v>120</v>
      </c>
      <c r="G25" s="18" t="s">
        <v>235</v>
      </c>
      <c r="H25" s="19" t="s">
        <v>31</v>
      </c>
      <c r="I25" s="20">
        <v>4820122950498</v>
      </c>
      <c r="J25" s="17" t="s">
        <v>236</v>
      </c>
      <c r="K25" s="17" t="s">
        <v>237</v>
      </c>
      <c r="L25" s="17" t="s">
        <v>238</v>
      </c>
      <c r="M25" s="17" t="s">
        <v>239</v>
      </c>
      <c r="N25" s="17" t="s">
        <v>240</v>
      </c>
      <c r="O25" s="17" t="s">
        <v>241</v>
      </c>
      <c r="P25" s="18" t="s">
        <v>38</v>
      </c>
      <c r="Q25" s="18" t="s">
        <v>38</v>
      </c>
      <c r="R25" s="18" t="s">
        <v>38</v>
      </c>
      <c r="S25" s="20">
        <v>1</v>
      </c>
      <c r="T25" s="21" t="s">
        <v>217</v>
      </c>
      <c r="U25" s="21" t="s">
        <v>217</v>
      </c>
      <c r="V25" s="21" t="s">
        <v>217</v>
      </c>
      <c r="W25" s="20" t="s">
        <v>190</v>
      </c>
      <c r="X25" s="22" t="s">
        <v>191</v>
      </c>
      <c r="Y25" s="23">
        <v>970</v>
      </c>
      <c r="Z25" s="9">
        <v>25</v>
      </c>
      <c r="AA25" s="9">
        <v>120</v>
      </c>
    </row>
    <row r="26" spans="1:27">
      <c r="A26" s="17" t="s">
        <v>181</v>
      </c>
      <c r="B26" s="16" t="s">
        <v>242</v>
      </c>
      <c r="C26" s="17" t="s">
        <v>243</v>
      </c>
      <c r="D26" s="9">
        <v>815</v>
      </c>
      <c r="E26" s="9">
        <v>21</v>
      </c>
      <c r="F26" s="9">
        <v>95</v>
      </c>
      <c r="G26" s="18" t="s">
        <v>244</v>
      </c>
      <c r="H26" s="19" t="s">
        <v>31</v>
      </c>
      <c r="I26" s="20"/>
      <c r="J26" s="17" t="s">
        <v>245</v>
      </c>
      <c r="K26" s="17" t="s">
        <v>246</v>
      </c>
      <c r="L26" s="17" t="s">
        <v>247</v>
      </c>
      <c r="M26" s="17" t="s">
        <v>248</v>
      </c>
      <c r="N26" s="17"/>
      <c r="O26" s="17"/>
      <c r="P26" s="18" t="s">
        <v>38</v>
      </c>
      <c r="Q26" s="18" t="s">
        <v>38</v>
      </c>
      <c r="R26" s="18" t="s">
        <v>38</v>
      </c>
      <c r="S26" s="20">
        <v>1</v>
      </c>
      <c r="T26" s="21" t="s">
        <v>217</v>
      </c>
      <c r="U26" s="21" t="s">
        <v>217</v>
      </c>
      <c r="V26" s="21" t="s">
        <v>217</v>
      </c>
      <c r="W26" s="20" t="s">
        <v>190</v>
      </c>
      <c r="X26" s="22" t="s">
        <v>191</v>
      </c>
      <c r="Y26" s="23">
        <v>815</v>
      </c>
      <c r="Z26" s="9">
        <v>21</v>
      </c>
      <c r="AA26" s="9">
        <v>95</v>
      </c>
    </row>
    <row r="27" spans="1:27">
      <c r="A27" s="17" t="s">
        <v>181</v>
      </c>
      <c r="B27" s="16" t="s">
        <v>249</v>
      </c>
      <c r="C27" s="17" t="s">
        <v>250</v>
      </c>
      <c r="D27" s="9">
        <v>970</v>
      </c>
      <c r="E27" s="9">
        <v>25</v>
      </c>
      <c r="F27" s="9">
        <v>120</v>
      </c>
      <c r="G27" s="18" t="s">
        <v>251</v>
      </c>
      <c r="H27" s="19" t="s">
        <v>31</v>
      </c>
      <c r="I27" s="20"/>
      <c r="J27" s="17" t="s">
        <v>252</v>
      </c>
      <c r="K27" s="17" t="s">
        <v>253</v>
      </c>
      <c r="L27" s="17" t="s">
        <v>254</v>
      </c>
      <c r="M27" s="17" t="s">
        <v>255</v>
      </c>
      <c r="N27" s="17"/>
      <c r="O27" s="17"/>
      <c r="P27" s="18" t="s">
        <v>38</v>
      </c>
      <c r="Q27" s="18" t="s">
        <v>38</v>
      </c>
      <c r="R27" s="18" t="s">
        <v>38</v>
      </c>
      <c r="S27" s="20">
        <v>1</v>
      </c>
      <c r="T27" s="21" t="s">
        <v>217</v>
      </c>
      <c r="U27" s="21" t="s">
        <v>217</v>
      </c>
      <c r="V27" s="21" t="s">
        <v>217</v>
      </c>
      <c r="W27" s="20" t="s">
        <v>190</v>
      </c>
      <c r="X27" s="22" t="s">
        <v>191</v>
      </c>
      <c r="Y27" s="23">
        <v>970</v>
      </c>
      <c r="Z27" s="9">
        <v>25</v>
      </c>
      <c r="AA27" s="9">
        <v>120</v>
      </c>
    </row>
    <row r="28" spans="1:27">
      <c r="A28" s="17" t="s">
        <v>181</v>
      </c>
      <c r="B28" s="16" t="s">
        <v>256</v>
      </c>
      <c r="C28" s="17" t="s">
        <v>257</v>
      </c>
      <c r="D28" s="9">
        <v>3425</v>
      </c>
      <c r="E28" s="9">
        <v>88</v>
      </c>
      <c r="F28" s="9">
        <v>395</v>
      </c>
      <c r="G28" s="18" t="s">
        <v>258</v>
      </c>
      <c r="H28" s="19" t="s">
        <v>31</v>
      </c>
      <c r="I28" s="20"/>
      <c r="J28" s="17" t="s">
        <v>259</v>
      </c>
      <c r="K28" s="17" t="s">
        <v>260</v>
      </c>
      <c r="L28" s="17" t="s">
        <v>261</v>
      </c>
      <c r="M28" s="17" t="s">
        <v>262</v>
      </c>
      <c r="N28" s="17" t="s">
        <v>263</v>
      </c>
      <c r="O28" s="17" t="s">
        <v>264</v>
      </c>
      <c r="P28" s="18" t="s">
        <v>38</v>
      </c>
      <c r="Q28" s="18" t="s">
        <v>38</v>
      </c>
      <c r="R28" s="18" t="s">
        <v>38</v>
      </c>
      <c r="S28" s="20">
        <v>9</v>
      </c>
      <c r="T28" s="21" t="s">
        <v>126</v>
      </c>
      <c r="U28" s="21" t="s">
        <v>126</v>
      </c>
      <c r="V28" s="21" t="s">
        <v>126</v>
      </c>
      <c r="W28" s="20" t="s">
        <v>190</v>
      </c>
      <c r="X28" s="22" t="s">
        <v>191</v>
      </c>
      <c r="Y28" s="23">
        <v>3425</v>
      </c>
      <c r="Z28" s="9">
        <v>88</v>
      </c>
      <c r="AA28" s="9">
        <v>395</v>
      </c>
    </row>
    <row r="29" spans="1:27">
      <c r="A29" s="16" t="s">
        <v>265</v>
      </c>
      <c r="B29" s="16" t="s">
        <v>266</v>
      </c>
      <c r="C29" s="17" t="s">
        <v>267</v>
      </c>
      <c r="D29" s="9">
        <v>2175</v>
      </c>
      <c r="E29" s="9">
        <v>55</v>
      </c>
      <c r="F29" s="9">
        <v>250</v>
      </c>
      <c r="G29" s="18" t="s">
        <v>268</v>
      </c>
      <c r="H29" s="19" t="s">
        <v>269</v>
      </c>
      <c r="I29" s="20"/>
      <c r="J29" s="17" t="s">
        <v>270</v>
      </c>
      <c r="K29" s="17" t="s">
        <v>271</v>
      </c>
      <c r="L29" s="17" t="s">
        <v>272</v>
      </c>
      <c r="M29" s="17" t="s">
        <v>273</v>
      </c>
      <c r="N29" s="17" t="s">
        <v>274</v>
      </c>
      <c r="O29" s="17" t="s">
        <v>275</v>
      </c>
      <c r="P29" s="18" t="s">
        <v>38</v>
      </c>
      <c r="Q29" s="18" t="s">
        <v>38</v>
      </c>
      <c r="R29" s="18" t="s">
        <v>38</v>
      </c>
      <c r="S29" s="20">
        <v>4</v>
      </c>
      <c r="T29" s="21" t="s">
        <v>137</v>
      </c>
      <c r="U29" s="21" t="s">
        <v>137</v>
      </c>
      <c r="V29" s="21" t="s">
        <v>137</v>
      </c>
      <c r="W29" s="20" t="s">
        <v>276</v>
      </c>
      <c r="X29" s="22" t="s">
        <v>277</v>
      </c>
      <c r="Y29" s="23">
        <v>2175</v>
      </c>
      <c r="Z29" s="9">
        <v>55</v>
      </c>
      <c r="AA29" s="9">
        <v>250</v>
      </c>
    </row>
    <row r="30" spans="1:27">
      <c r="A30" s="16" t="s">
        <v>265</v>
      </c>
      <c r="B30" s="16" t="s">
        <v>278</v>
      </c>
      <c r="C30" s="17" t="s">
        <v>279</v>
      </c>
      <c r="D30" s="9">
        <v>2945</v>
      </c>
      <c r="E30" s="9">
        <v>75</v>
      </c>
      <c r="F30" s="9">
        <v>340</v>
      </c>
      <c r="G30" s="18" t="s">
        <v>280</v>
      </c>
      <c r="H30" s="19" t="s">
        <v>269</v>
      </c>
      <c r="I30" s="20"/>
      <c r="J30" s="17" t="s">
        <v>270</v>
      </c>
      <c r="K30" s="17" t="s">
        <v>271</v>
      </c>
      <c r="L30" s="17" t="s">
        <v>272</v>
      </c>
      <c r="M30" s="17" t="s">
        <v>281</v>
      </c>
      <c r="N30" s="17" t="s">
        <v>282</v>
      </c>
      <c r="O30" s="17" t="s">
        <v>283</v>
      </c>
      <c r="P30" s="18" t="s">
        <v>38</v>
      </c>
      <c r="Q30" s="18" t="s">
        <v>38</v>
      </c>
      <c r="R30" s="18" t="s">
        <v>38</v>
      </c>
      <c r="S30" s="20">
        <v>9</v>
      </c>
      <c r="T30" s="21" t="s">
        <v>284</v>
      </c>
      <c r="U30" s="21" t="s">
        <v>284</v>
      </c>
      <c r="V30" s="21" t="s">
        <v>284</v>
      </c>
      <c r="W30" s="20" t="s">
        <v>276</v>
      </c>
      <c r="X30" s="22" t="s">
        <v>277</v>
      </c>
      <c r="Y30" s="23">
        <v>2945</v>
      </c>
      <c r="Z30" s="9">
        <v>75</v>
      </c>
      <c r="AA30" s="9">
        <v>340</v>
      </c>
    </row>
    <row r="31" spans="1:27">
      <c r="A31" s="16" t="s">
        <v>265</v>
      </c>
      <c r="B31" s="16" t="s">
        <v>285</v>
      </c>
      <c r="C31" s="17" t="s">
        <v>286</v>
      </c>
      <c r="D31" s="9">
        <v>1995</v>
      </c>
      <c r="E31" s="9">
        <v>50</v>
      </c>
      <c r="F31" s="9">
        <v>300</v>
      </c>
      <c r="G31" s="18" t="s">
        <v>287</v>
      </c>
      <c r="H31" s="19" t="s">
        <v>269</v>
      </c>
      <c r="I31" s="20"/>
      <c r="J31" s="17" t="s">
        <v>288</v>
      </c>
      <c r="K31" s="17" t="s">
        <v>289</v>
      </c>
      <c r="L31" s="17" t="s">
        <v>290</v>
      </c>
      <c r="M31" s="17" t="s">
        <v>291</v>
      </c>
      <c r="N31" s="17" t="s">
        <v>292</v>
      </c>
      <c r="O31" s="17" t="s">
        <v>293</v>
      </c>
      <c r="P31" s="18" t="s">
        <v>38</v>
      </c>
      <c r="Q31" s="18" t="s">
        <v>38</v>
      </c>
      <c r="R31" s="18" t="s">
        <v>38</v>
      </c>
      <c r="S31" s="20">
        <v>2</v>
      </c>
      <c r="T31" s="21" t="s">
        <v>137</v>
      </c>
      <c r="U31" s="21" t="s">
        <v>137</v>
      </c>
      <c r="V31" s="21" t="s">
        <v>137</v>
      </c>
      <c r="W31" s="20" t="s">
        <v>276</v>
      </c>
      <c r="X31" s="22" t="s">
        <v>277</v>
      </c>
      <c r="Y31" s="23">
        <v>1995</v>
      </c>
      <c r="Z31" s="9">
        <v>50</v>
      </c>
      <c r="AA31" s="9">
        <v>300</v>
      </c>
    </row>
    <row r="32" spans="1:27">
      <c r="A32" s="17" t="s">
        <v>265</v>
      </c>
      <c r="B32" s="16" t="s">
        <v>294</v>
      </c>
      <c r="C32" s="16" t="s">
        <v>294</v>
      </c>
      <c r="D32" s="21" t="s">
        <v>121</v>
      </c>
      <c r="E32" s="9" t="s">
        <v>121</v>
      </c>
      <c r="F32" s="9">
        <v>234.5</v>
      </c>
      <c r="G32" s="28" t="s">
        <v>121</v>
      </c>
      <c r="H32" s="31" t="s">
        <v>121</v>
      </c>
      <c r="I32" s="20"/>
      <c r="J32" s="16" t="s">
        <v>121</v>
      </c>
      <c r="K32" s="16" t="s">
        <v>121</v>
      </c>
      <c r="L32" s="17" t="s">
        <v>290</v>
      </c>
      <c r="M32" s="16"/>
      <c r="N32" s="16"/>
      <c r="O32" s="32" t="s">
        <v>295</v>
      </c>
      <c r="P32" s="18" t="s">
        <v>38</v>
      </c>
      <c r="Q32" s="18" t="s">
        <v>38</v>
      </c>
      <c r="R32" s="18" t="s">
        <v>38</v>
      </c>
      <c r="S32" s="20">
        <v>2</v>
      </c>
      <c r="T32" s="21" t="s">
        <v>137</v>
      </c>
      <c r="U32" s="21" t="s">
        <v>137</v>
      </c>
      <c r="V32" s="21" t="s">
        <v>137</v>
      </c>
      <c r="W32" s="20" t="s">
        <v>276</v>
      </c>
      <c r="X32" s="22" t="s">
        <v>277</v>
      </c>
      <c r="Y32" s="33" t="s">
        <v>121</v>
      </c>
      <c r="Z32" s="9" t="s">
        <v>121</v>
      </c>
      <c r="AA32" s="9">
        <v>234.5</v>
      </c>
    </row>
    <row r="33" spans="1:27">
      <c r="A33" s="17" t="s">
        <v>296</v>
      </c>
      <c r="B33" s="16" t="s">
        <v>297</v>
      </c>
      <c r="C33" s="17" t="s">
        <v>298</v>
      </c>
      <c r="D33" s="9">
        <v>3115</v>
      </c>
      <c r="E33" s="9">
        <v>80</v>
      </c>
      <c r="F33" s="9">
        <v>360</v>
      </c>
      <c r="G33" s="18" t="s">
        <v>299</v>
      </c>
      <c r="H33" s="19" t="s">
        <v>269</v>
      </c>
      <c r="I33" s="20"/>
      <c r="J33" s="17" t="s">
        <v>300</v>
      </c>
      <c r="K33" s="17" t="s">
        <v>301</v>
      </c>
      <c r="L33" s="17" t="s">
        <v>302</v>
      </c>
      <c r="M33" s="17" t="s">
        <v>303</v>
      </c>
      <c r="N33" s="17" t="s">
        <v>304</v>
      </c>
      <c r="O33" s="17" t="s">
        <v>305</v>
      </c>
      <c r="P33" s="18" t="s">
        <v>38</v>
      </c>
      <c r="Q33" s="18" t="s">
        <v>38</v>
      </c>
      <c r="R33" s="18" t="s">
        <v>38</v>
      </c>
      <c r="S33" s="20">
        <v>4</v>
      </c>
      <c r="T33" s="21" t="s">
        <v>306</v>
      </c>
      <c r="U33" s="21" t="s">
        <v>307</v>
      </c>
      <c r="V33" s="21" t="s">
        <v>308</v>
      </c>
      <c r="W33" s="20" t="s">
        <v>309</v>
      </c>
      <c r="X33" s="22" t="s">
        <v>310</v>
      </c>
      <c r="Y33" s="29">
        <v>3430</v>
      </c>
      <c r="Z33" s="30">
        <f t="shared" ref="Z33:Z42" si="1">ROUNDUP(Y33/39,)</f>
        <v>88</v>
      </c>
      <c r="AA33" s="30">
        <v>365</v>
      </c>
    </row>
    <row r="34" spans="1:27">
      <c r="A34" s="17" t="s">
        <v>296</v>
      </c>
      <c r="B34" s="16" t="s">
        <v>311</v>
      </c>
      <c r="C34" s="17" t="s">
        <v>312</v>
      </c>
      <c r="D34" s="9">
        <v>3495</v>
      </c>
      <c r="E34" s="9">
        <v>90</v>
      </c>
      <c r="F34" s="9">
        <v>410</v>
      </c>
      <c r="G34" s="18" t="s">
        <v>313</v>
      </c>
      <c r="H34" s="19" t="s">
        <v>269</v>
      </c>
      <c r="I34" s="20"/>
      <c r="J34" s="17" t="s">
        <v>300</v>
      </c>
      <c r="K34" s="17" t="s">
        <v>301</v>
      </c>
      <c r="L34" s="17" t="s">
        <v>302</v>
      </c>
      <c r="M34" s="17" t="s">
        <v>314</v>
      </c>
      <c r="N34" s="17" t="s">
        <v>315</v>
      </c>
      <c r="O34" s="17" t="s">
        <v>316</v>
      </c>
      <c r="P34" s="18" t="s">
        <v>38</v>
      </c>
      <c r="Q34" s="18" t="s">
        <v>38</v>
      </c>
      <c r="R34" s="18" t="s">
        <v>38</v>
      </c>
      <c r="S34" s="20">
        <v>4</v>
      </c>
      <c r="T34" s="21" t="s">
        <v>317</v>
      </c>
      <c r="U34" s="21" t="s">
        <v>318</v>
      </c>
      <c r="V34" s="21" t="s">
        <v>319</v>
      </c>
      <c r="W34" s="20" t="s">
        <v>309</v>
      </c>
      <c r="X34" s="22" t="s">
        <v>310</v>
      </c>
      <c r="Y34" s="29">
        <v>3845</v>
      </c>
      <c r="Z34" s="30">
        <f t="shared" si="1"/>
        <v>99</v>
      </c>
      <c r="AA34" s="30">
        <v>410</v>
      </c>
    </row>
    <row r="35" spans="1:27">
      <c r="A35" s="17" t="s">
        <v>296</v>
      </c>
      <c r="B35" s="16" t="s">
        <v>320</v>
      </c>
      <c r="C35" s="17" t="s">
        <v>321</v>
      </c>
      <c r="D35" s="9">
        <v>3925</v>
      </c>
      <c r="E35" s="9">
        <v>100</v>
      </c>
      <c r="F35" s="9">
        <v>450</v>
      </c>
      <c r="G35" s="18" t="s">
        <v>322</v>
      </c>
      <c r="H35" s="19" t="s">
        <v>269</v>
      </c>
      <c r="I35" s="20"/>
      <c r="J35" s="17" t="s">
        <v>300</v>
      </c>
      <c r="K35" s="17" t="s">
        <v>301</v>
      </c>
      <c r="L35" s="17" t="s">
        <v>302</v>
      </c>
      <c r="M35" s="17" t="s">
        <v>323</v>
      </c>
      <c r="N35" s="17" t="s">
        <v>324</v>
      </c>
      <c r="O35" s="17" t="s">
        <v>325</v>
      </c>
      <c r="P35" s="18" t="s">
        <v>38</v>
      </c>
      <c r="Q35" s="18" t="s">
        <v>38</v>
      </c>
      <c r="R35" s="18" t="s">
        <v>38</v>
      </c>
      <c r="S35" s="20">
        <v>4</v>
      </c>
      <c r="T35" s="21" t="s">
        <v>326</v>
      </c>
      <c r="U35" s="21" t="s">
        <v>327</v>
      </c>
      <c r="V35" s="21" t="s">
        <v>328</v>
      </c>
      <c r="W35" s="20" t="s">
        <v>309</v>
      </c>
      <c r="X35" s="22" t="s">
        <v>310</v>
      </c>
      <c r="Y35" s="29">
        <v>4320</v>
      </c>
      <c r="Z35" s="30">
        <f t="shared" si="1"/>
        <v>111</v>
      </c>
      <c r="AA35" s="30">
        <v>460</v>
      </c>
    </row>
    <row r="36" spans="1:27">
      <c r="A36" s="17" t="s">
        <v>296</v>
      </c>
      <c r="B36" s="16" t="s">
        <v>329</v>
      </c>
      <c r="C36" s="17" t="s">
        <v>330</v>
      </c>
      <c r="D36" s="9">
        <v>3495</v>
      </c>
      <c r="E36" s="9">
        <v>90</v>
      </c>
      <c r="F36" s="9">
        <v>410</v>
      </c>
      <c r="G36" s="18" t="s">
        <v>331</v>
      </c>
      <c r="H36" s="19" t="s">
        <v>269</v>
      </c>
      <c r="I36" s="20"/>
      <c r="J36" s="17" t="s">
        <v>332</v>
      </c>
      <c r="K36" s="17" t="s">
        <v>301</v>
      </c>
      <c r="L36" s="17" t="s">
        <v>333</v>
      </c>
      <c r="M36" s="17" t="s">
        <v>334</v>
      </c>
      <c r="N36" s="17"/>
      <c r="O36" s="17"/>
      <c r="P36" s="18" t="s">
        <v>38</v>
      </c>
      <c r="Q36" s="18" t="s">
        <v>38</v>
      </c>
      <c r="R36" s="18" t="s">
        <v>38</v>
      </c>
      <c r="S36" s="20">
        <v>4</v>
      </c>
      <c r="T36" s="21" t="s">
        <v>335</v>
      </c>
      <c r="U36" s="21" t="s">
        <v>307</v>
      </c>
      <c r="V36" s="21" t="s">
        <v>308</v>
      </c>
      <c r="W36" s="20" t="s">
        <v>309</v>
      </c>
      <c r="X36" s="22" t="s">
        <v>310</v>
      </c>
      <c r="Y36" s="29">
        <v>3845</v>
      </c>
      <c r="Z36" s="30">
        <f t="shared" si="1"/>
        <v>99</v>
      </c>
      <c r="AA36" s="30">
        <v>410</v>
      </c>
    </row>
    <row r="37" spans="1:27">
      <c r="A37" s="17" t="s">
        <v>296</v>
      </c>
      <c r="B37" s="16" t="s">
        <v>336</v>
      </c>
      <c r="C37" s="17" t="s">
        <v>337</v>
      </c>
      <c r="D37" s="9">
        <v>5225</v>
      </c>
      <c r="E37" s="9">
        <v>134</v>
      </c>
      <c r="F37" s="9">
        <v>600</v>
      </c>
      <c r="G37" s="18" t="s">
        <v>338</v>
      </c>
      <c r="H37" s="19" t="s">
        <v>269</v>
      </c>
      <c r="I37" s="20"/>
      <c r="J37" s="17" t="s">
        <v>339</v>
      </c>
      <c r="K37" s="17" t="s">
        <v>340</v>
      </c>
      <c r="L37" s="17" t="s">
        <v>341</v>
      </c>
      <c r="M37" s="17" t="s">
        <v>342</v>
      </c>
      <c r="N37" s="17" t="s">
        <v>343</v>
      </c>
      <c r="O37" s="17" t="s">
        <v>344</v>
      </c>
      <c r="P37" s="18" t="s">
        <v>38</v>
      </c>
      <c r="Q37" s="18" t="s">
        <v>38</v>
      </c>
      <c r="R37" s="18" t="s">
        <v>38</v>
      </c>
      <c r="S37" s="20">
        <v>9</v>
      </c>
      <c r="T37" s="21" t="s">
        <v>345</v>
      </c>
      <c r="U37" s="21" t="s">
        <v>346</v>
      </c>
      <c r="V37" s="21" t="s">
        <v>347</v>
      </c>
      <c r="W37" s="20" t="s">
        <v>309</v>
      </c>
      <c r="X37" s="22" t="s">
        <v>310</v>
      </c>
      <c r="Y37" s="29">
        <v>5750</v>
      </c>
      <c r="Z37" s="30">
        <f t="shared" si="1"/>
        <v>148</v>
      </c>
      <c r="AA37" s="30">
        <v>615</v>
      </c>
    </row>
    <row r="38" spans="1:27">
      <c r="A38" s="17" t="s">
        <v>296</v>
      </c>
      <c r="B38" s="16" t="s">
        <v>348</v>
      </c>
      <c r="C38" s="17" t="s">
        <v>349</v>
      </c>
      <c r="D38" s="9">
        <v>5570</v>
      </c>
      <c r="E38" s="9">
        <v>143</v>
      </c>
      <c r="F38" s="9">
        <v>640</v>
      </c>
      <c r="G38" s="18" t="s">
        <v>350</v>
      </c>
      <c r="H38" s="19" t="s">
        <v>269</v>
      </c>
      <c r="I38" s="20"/>
      <c r="J38" s="17" t="s">
        <v>351</v>
      </c>
      <c r="K38" s="17" t="s">
        <v>352</v>
      </c>
      <c r="L38" s="17" t="s">
        <v>353</v>
      </c>
      <c r="M38" s="17" t="s">
        <v>354</v>
      </c>
      <c r="N38" s="17" t="s">
        <v>355</v>
      </c>
      <c r="O38" s="17" t="s">
        <v>356</v>
      </c>
      <c r="P38" s="18" t="s">
        <v>38</v>
      </c>
      <c r="Q38" s="18" t="s">
        <v>38</v>
      </c>
      <c r="R38" s="18" t="s">
        <v>38</v>
      </c>
      <c r="S38" s="20">
        <v>9</v>
      </c>
      <c r="T38" s="21" t="s">
        <v>345</v>
      </c>
      <c r="U38" s="21" t="s">
        <v>346</v>
      </c>
      <c r="V38" s="21" t="s">
        <v>347</v>
      </c>
      <c r="W38" s="20" t="s">
        <v>309</v>
      </c>
      <c r="X38" s="22" t="s">
        <v>310</v>
      </c>
      <c r="Y38" s="29">
        <v>6130</v>
      </c>
      <c r="Z38" s="30">
        <f t="shared" si="1"/>
        <v>158</v>
      </c>
      <c r="AA38" s="30">
        <v>650</v>
      </c>
    </row>
    <row r="39" spans="1:27">
      <c r="A39" s="17" t="s">
        <v>296</v>
      </c>
      <c r="B39" s="16" t="s">
        <v>357</v>
      </c>
      <c r="C39" s="17" t="s">
        <v>358</v>
      </c>
      <c r="D39" s="9">
        <v>5570</v>
      </c>
      <c r="E39" s="9">
        <v>143</v>
      </c>
      <c r="F39" s="9">
        <v>640</v>
      </c>
      <c r="G39" s="18" t="s">
        <v>359</v>
      </c>
      <c r="H39" s="19" t="s">
        <v>269</v>
      </c>
      <c r="I39" s="20"/>
      <c r="J39" s="17" t="s">
        <v>360</v>
      </c>
      <c r="K39" s="17" t="s">
        <v>361</v>
      </c>
      <c r="L39" s="17" t="s">
        <v>362</v>
      </c>
      <c r="M39" s="17" t="s">
        <v>363</v>
      </c>
      <c r="N39" s="17"/>
      <c r="O39" s="17"/>
      <c r="P39" s="18" t="s">
        <v>38</v>
      </c>
      <c r="Q39" s="18" t="s">
        <v>38</v>
      </c>
      <c r="R39" s="18" t="s">
        <v>38</v>
      </c>
      <c r="S39" s="20">
        <v>9</v>
      </c>
      <c r="T39" s="21" t="s">
        <v>364</v>
      </c>
      <c r="U39" s="21" t="s">
        <v>365</v>
      </c>
      <c r="V39" s="21" t="s">
        <v>366</v>
      </c>
      <c r="W39" s="20" t="s">
        <v>309</v>
      </c>
      <c r="X39" s="22" t="s">
        <v>310</v>
      </c>
      <c r="Y39" s="29">
        <v>6130</v>
      </c>
      <c r="Z39" s="30">
        <f t="shared" si="1"/>
        <v>158</v>
      </c>
      <c r="AA39" s="30">
        <v>650</v>
      </c>
    </row>
    <row r="40" spans="1:27">
      <c r="A40" s="17" t="s">
        <v>296</v>
      </c>
      <c r="B40" s="16" t="s">
        <v>367</v>
      </c>
      <c r="C40" s="17" t="s">
        <v>368</v>
      </c>
      <c r="D40" s="9">
        <v>6980</v>
      </c>
      <c r="E40" s="9">
        <v>179</v>
      </c>
      <c r="F40" s="9">
        <v>805</v>
      </c>
      <c r="G40" s="18" t="s">
        <v>369</v>
      </c>
      <c r="H40" s="19" t="s">
        <v>269</v>
      </c>
      <c r="I40" s="20"/>
      <c r="J40" s="17" t="s">
        <v>370</v>
      </c>
      <c r="K40" s="17" t="s">
        <v>371</v>
      </c>
      <c r="L40" s="17" t="s">
        <v>372</v>
      </c>
      <c r="M40" s="17" t="s">
        <v>373</v>
      </c>
      <c r="N40" s="17" t="s">
        <v>374</v>
      </c>
      <c r="O40" s="17" t="s">
        <v>375</v>
      </c>
      <c r="P40" s="18" t="s">
        <v>38</v>
      </c>
      <c r="Q40" s="18" t="s">
        <v>38</v>
      </c>
      <c r="R40" s="18" t="s">
        <v>38</v>
      </c>
      <c r="S40" s="20">
        <v>9</v>
      </c>
      <c r="T40" s="21" t="s">
        <v>345</v>
      </c>
      <c r="U40" s="21" t="s">
        <v>346</v>
      </c>
      <c r="V40" s="21" t="s">
        <v>347</v>
      </c>
      <c r="W40" s="20" t="s">
        <v>309</v>
      </c>
      <c r="X40" s="22" t="s">
        <v>310</v>
      </c>
      <c r="Y40" s="29">
        <v>7680</v>
      </c>
      <c r="Z40" s="30">
        <f t="shared" si="1"/>
        <v>197</v>
      </c>
      <c r="AA40" s="30">
        <v>820</v>
      </c>
    </row>
    <row r="41" spans="1:27">
      <c r="A41" s="17" t="s">
        <v>296</v>
      </c>
      <c r="B41" s="16" t="s">
        <v>376</v>
      </c>
      <c r="C41" s="17" t="s">
        <v>377</v>
      </c>
      <c r="D41" s="9">
        <v>7150</v>
      </c>
      <c r="E41" s="9">
        <v>183</v>
      </c>
      <c r="F41" s="9">
        <v>820</v>
      </c>
      <c r="G41" s="18" t="s">
        <v>378</v>
      </c>
      <c r="H41" s="19" t="s">
        <v>269</v>
      </c>
      <c r="I41" s="20"/>
      <c r="J41" s="17" t="s">
        <v>379</v>
      </c>
      <c r="K41" s="17" t="s">
        <v>380</v>
      </c>
      <c r="L41" s="17" t="s">
        <v>381</v>
      </c>
      <c r="M41" s="17" t="s">
        <v>382</v>
      </c>
      <c r="N41" s="17" t="s">
        <v>383</v>
      </c>
      <c r="O41" s="17" t="s">
        <v>384</v>
      </c>
      <c r="P41" s="18" t="s">
        <v>385</v>
      </c>
      <c r="Q41" s="18" t="s">
        <v>386</v>
      </c>
      <c r="R41" s="18" t="s">
        <v>38</v>
      </c>
      <c r="S41" s="20" t="s">
        <v>121</v>
      </c>
      <c r="T41" s="21" t="s">
        <v>345</v>
      </c>
      <c r="U41" s="21" t="s">
        <v>346</v>
      </c>
      <c r="V41" s="21" t="s">
        <v>347</v>
      </c>
      <c r="W41" s="20" t="s">
        <v>309</v>
      </c>
      <c r="X41" s="22" t="s">
        <v>310</v>
      </c>
      <c r="Y41" s="29">
        <v>7865</v>
      </c>
      <c r="Z41" s="30">
        <f t="shared" si="1"/>
        <v>202</v>
      </c>
      <c r="AA41" s="30">
        <v>840</v>
      </c>
    </row>
    <row r="42" spans="1:27">
      <c r="A42" s="17" t="s">
        <v>296</v>
      </c>
      <c r="B42" s="16" t="s">
        <v>387</v>
      </c>
      <c r="C42" s="17" t="s">
        <v>388</v>
      </c>
      <c r="D42" s="9">
        <v>6980</v>
      </c>
      <c r="E42" s="9">
        <v>179</v>
      </c>
      <c r="F42" s="9">
        <v>805</v>
      </c>
      <c r="G42" s="28" t="s">
        <v>389</v>
      </c>
      <c r="H42" s="19" t="s">
        <v>269</v>
      </c>
      <c r="I42" s="20"/>
      <c r="J42" s="17" t="s">
        <v>390</v>
      </c>
      <c r="K42" s="17" t="s">
        <v>391</v>
      </c>
      <c r="L42" s="17" t="s">
        <v>392</v>
      </c>
      <c r="M42" s="17"/>
      <c r="N42" s="17"/>
      <c r="O42" s="17"/>
      <c r="P42" s="18" t="s">
        <v>38</v>
      </c>
      <c r="Q42" s="18" t="s">
        <v>38</v>
      </c>
      <c r="R42" s="18" t="s">
        <v>38</v>
      </c>
      <c r="S42" s="20">
        <v>9</v>
      </c>
      <c r="T42" s="21" t="s">
        <v>346</v>
      </c>
      <c r="U42" s="21" t="s">
        <v>346</v>
      </c>
      <c r="V42" s="21" t="s">
        <v>346</v>
      </c>
      <c r="W42" s="20" t="s">
        <v>309</v>
      </c>
      <c r="X42" s="22" t="s">
        <v>310</v>
      </c>
      <c r="Y42" s="29">
        <v>7680</v>
      </c>
      <c r="Z42" s="30">
        <f t="shared" si="1"/>
        <v>197</v>
      </c>
      <c r="AA42" s="30">
        <v>820</v>
      </c>
    </row>
    <row r="43" spans="1:27">
      <c r="A43" s="17" t="s">
        <v>296</v>
      </c>
      <c r="B43" s="16" t="s">
        <v>393</v>
      </c>
      <c r="C43" s="17" t="s">
        <v>394</v>
      </c>
      <c r="D43" s="9">
        <v>2690</v>
      </c>
      <c r="E43" s="9">
        <v>69</v>
      </c>
      <c r="F43" s="9">
        <v>310</v>
      </c>
      <c r="G43" s="18" t="s">
        <v>395</v>
      </c>
      <c r="H43" s="19" t="s">
        <v>269</v>
      </c>
      <c r="I43" s="20" t="s">
        <v>121</v>
      </c>
      <c r="J43" s="17" t="s">
        <v>396</v>
      </c>
      <c r="K43" s="17" t="s">
        <v>397</v>
      </c>
      <c r="L43" s="17" t="s">
        <v>398</v>
      </c>
      <c r="M43" s="17" t="s">
        <v>399</v>
      </c>
      <c r="N43" s="17" t="s">
        <v>400</v>
      </c>
      <c r="O43" s="17"/>
      <c r="P43" s="18" t="s">
        <v>401</v>
      </c>
      <c r="Q43" s="18" t="s">
        <v>402</v>
      </c>
      <c r="R43" s="18" t="s">
        <v>403</v>
      </c>
      <c r="S43" s="20" t="s">
        <v>121</v>
      </c>
      <c r="T43" s="21" t="s">
        <v>404</v>
      </c>
      <c r="U43" s="21" t="s">
        <v>404</v>
      </c>
      <c r="V43" s="21" t="s">
        <v>404</v>
      </c>
      <c r="W43" s="20" t="s">
        <v>309</v>
      </c>
      <c r="X43" s="22" t="s">
        <v>310</v>
      </c>
      <c r="Y43" s="36">
        <v>2690</v>
      </c>
      <c r="Z43" s="9">
        <v>69</v>
      </c>
      <c r="AA43" s="9">
        <v>310</v>
      </c>
    </row>
    <row r="44" spans="1:27">
      <c r="A44" s="16" t="s">
        <v>405</v>
      </c>
      <c r="B44" s="16" t="s">
        <v>406</v>
      </c>
      <c r="C44" s="17" t="s">
        <v>407</v>
      </c>
      <c r="D44" s="9">
        <v>1920</v>
      </c>
      <c r="E44" s="9">
        <v>49</v>
      </c>
      <c r="F44" s="9">
        <v>220</v>
      </c>
      <c r="G44" s="18" t="s">
        <v>408</v>
      </c>
      <c r="H44" s="19" t="s">
        <v>31</v>
      </c>
      <c r="I44" s="20"/>
      <c r="J44" s="17" t="s">
        <v>409</v>
      </c>
      <c r="K44" s="17" t="s">
        <v>410</v>
      </c>
      <c r="L44" s="17" t="s">
        <v>411</v>
      </c>
      <c r="M44" s="17" t="s">
        <v>412</v>
      </c>
      <c r="N44" s="17"/>
      <c r="O44" s="17" t="s">
        <v>413</v>
      </c>
      <c r="P44" s="18" t="s">
        <v>38</v>
      </c>
      <c r="Q44" s="18" t="s">
        <v>38</v>
      </c>
      <c r="R44" s="18" t="s">
        <v>38</v>
      </c>
      <c r="S44" s="20">
        <v>3</v>
      </c>
      <c r="T44" s="21" t="s">
        <v>414</v>
      </c>
      <c r="U44" s="21" t="s">
        <v>415</v>
      </c>
      <c r="V44" s="21" t="s">
        <v>415</v>
      </c>
      <c r="W44" s="20" t="s">
        <v>416</v>
      </c>
      <c r="X44" s="22" t="s">
        <v>417</v>
      </c>
      <c r="Y44" s="36">
        <v>1920</v>
      </c>
      <c r="Z44" s="9">
        <v>49</v>
      </c>
      <c r="AA44" s="9">
        <v>220</v>
      </c>
    </row>
    <row r="45" spans="1:27">
      <c r="A45" s="16" t="s">
        <v>405</v>
      </c>
      <c r="B45" s="16" t="s">
        <v>418</v>
      </c>
      <c r="C45" s="17" t="s">
        <v>419</v>
      </c>
      <c r="D45" s="9">
        <v>1295</v>
      </c>
      <c r="E45" s="9">
        <v>33</v>
      </c>
      <c r="F45" s="9">
        <v>150</v>
      </c>
      <c r="G45" s="18" t="s">
        <v>420</v>
      </c>
      <c r="H45" s="19" t="s">
        <v>31</v>
      </c>
      <c r="I45" s="20"/>
      <c r="J45" s="17" t="s">
        <v>421</v>
      </c>
      <c r="K45" s="17" t="s">
        <v>422</v>
      </c>
      <c r="L45" s="17" t="s">
        <v>423</v>
      </c>
      <c r="M45" s="17" t="s">
        <v>424</v>
      </c>
      <c r="N45" s="17" t="s">
        <v>425</v>
      </c>
      <c r="O45" s="17" t="s">
        <v>426</v>
      </c>
      <c r="P45" s="18" t="s">
        <v>38</v>
      </c>
      <c r="Q45" s="18" t="s">
        <v>38</v>
      </c>
      <c r="R45" s="18" t="s">
        <v>38</v>
      </c>
      <c r="S45" s="20">
        <v>3</v>
      </c>
      <c r="T45" s="21" t="s">
        <v>427</v>
      </c>
      <c r="U45" s="21" t="s">
        <v>427</v>
      </c>
      <c r="V45" s="21" t="s">
        <v>427</v>
      </c>
      <c r="W45" s="20" t="s">
        <v>416</v>
      </c>
      <c r="X45" s="22" t="s">
        <v>417</v>
      </c>
      <c r="Y45" s="37">
        <v>1425</v>
      </c>
      <c r="Z45" s="38">
        <f t="shared" ref="Z45:Z46" si="2">ROUNDUP(Y45/39,)</f>
        <v>37</v>
      </c>
      <c r="AA45" s="38">
        <v>150</v>
      </c>
    </row>
    <row r="46" spans="1:27">
      <c r="A46" s="16" t="s">
        <v>405</v>
      </c>
      <c r="B46" s="16" t="s">
        <v>428</v>
      </c>
      <c r="C46" s="17" t="s">
        <v>429</v>
      </c>
      <c r="D46" s="9">
        <v>1700</v>
      </c>
      <c r="E46" s="9">
        <v>44</v>
      </c>
      <c r="F46" s="9">
        <v>195</v>
      </c>
      <c r="G46" s="18" t="s">
        <v>430</v>
      </c>
      <c r="H46" s="19" t="s">
        <v>31</v>
      </c>
      <c r="I46" s="20"/>
      <c r="J46" s="17" t="s">
        <v>431</v>
      </c>
      <c r="K46" s="17" t="s">
        <v>432</v>
      </c>
      <c r="L46" s="17" t="s">
        <v>433</v>
      </c>
      <c r="M46" s="17" t="s">
        <v>434</v>
      </c>
      <c r="N46" s="17" t="s">
        <v>435</v>
      </c>
      <c r="O46" s="17" t="s">
        <v>436</v>
      </c>
      <c r="P46" s="18" t="s">
        <v>38</v>
      </c>
      <c r="Q46" s="18" t="s">
        <v>38</v>
      </c>
      <c r="R46" s="18" t="s">
        <v>38</v>
      </c>
      <c r="S46" s="20">
        <v>3</v>
      </c>
      <c r="T46" s="21" t="s">
        <v>437</v>
      </c>
      <c r="U46" s="21" t="s">
        <v>438</v>
      </c>
      <c r="V46" s="21" t="s">
        <v>438</v>
      </c>
      <c r="W46" s="20" t="s">
        <v>416</v>
      </c>
      <c r="X46" s="22" t="s">
        <v>417</v>
      </c>
      <c r="Y46" s="37">
        <v>1870</v>
      </c>
      <c r="Z46" s="38">
        <f t="shared" si="2"/>
        <v>48</v>
      </c>
      <c r="AA46" s="38">
        <v>200</v>
      </c>
    </row>
    <row r="47" spans="1:27">
      <c r="A47" s="16" t="s">
        <v>405</v>
      </c>
      <c r="B47" s="16" t="s">
        <v>439</v>
      </c>
      <c r="C47" s="17" t="s">
        <v>440</v>
      </c>
      <c r="D47" s="9">
        <v>5940</v>
      </c>
      <c r="E47" s="9">
        <v>152</v>
      </c>
      <c r="F47" s="9">
        <v>685</v>
      </c>
      <c r="G47" s="18" t="s">
        <v>441</v>
      </c>
      <c r="H47" s="19" t="s">
        <v>31</v>
      </c>
      <c r="I47" s="20"/>
      <c r="J47" s="17" t="s">
        <v>442</v>
      </c>
      <c r="K47" s="17" t="s">
        <v>443</v>
      </c>
      <c r="L47" s="17" t="s">
        <v>444</v>
      </c>
      <c r="M47" s="17" t="s">
        <v>445</v>
      </c>
      <c r="N47" s="17" t="s">
        <v>446</v>
      </c>
      <c r="O47" s="17" t="s">
        <v>447</v>
      </c>
      <c r="P47" s="18" t="s">
        <v>38</v>
      </c>
      <c r="Q47" s="18" t="s">
        <v>38</v>
      </c>
      <c r="R47" s="18" t="s">
        <v>38</v>
      </c>
      <c r="S47" s="20">
        <v>9</v>
      </c>
      <c r="T47" s="21" t="s">
        <v>448</v>
      </c>
      <c r="U47" s="21" t="s">
        <v>449</v>
      </c>
      <c r="V47" s="21" t="s">
        <v>449</v>
      </c>
      <c r="W47" s="20" t="s">
        <v>416</v>
      </c>
      <c r="X47" s="22" t="s">
        <v>417</v>
      </c>
      <c r="Y47" s="36">
        <v>5940</v>
      </c>
      <c r="Z47" s="9">
        <v>152</v>
      </c>
      <c r="AA47" s="9">
        <v>685</v>
      </c>
    </row>
    <row r="48" spans="1:27">
      <c r="A48" s="17" t="s">
        <v>450</v>
      </c>
      <c r="B48" s="16" t="s">
        <v>451</v>
      </c>
      <c r="C48" s="17" t="s">
        <v>452</v>
      </c>
      <c r="D48" s="9">
        <v>1930</v>
      </c>
      <c r="E48" s="9">
        <v>49</v>
      </c>
      <c r="F48" s="9">
        <v>225</v>
      </c>
      <c r="G48" s="18" t="s">
        <v>453</v>
      </c>
      <c r="H48" s="19" t="s">
        <v>31</v>
      </c>
      <c r="I48" s="20">
        <v>4820122950511</v>
      </c>
      <c r="J48" s="17" t="s">
        <v>454</v>
      </c>
      <c r="K48" s="17" t="s">
        <v>455</v>
      </c>
      <c r="L48" s="17" t="s">
        <v>456</v>
      </c>
      <c r="M48" s="17" t="s">
        <v>457</v>
      </c>
      <c r="N48" s="17" t="s">
        <v>458</v>
      </c>
      <c r="O48" s="17" t="s">
        <v>459</v>
      </c>
      <c r="P48" s="18" t="s">
        <v>38</v>
      </c>
      <c r="Q48" s="18" t="s">
        <v>38</v>
      </c>
      <c r="R48" s="18" t="s">
        <v>38</v>
      </c>
      <c r="S48" s="20">
        <v>3</v>
      </c>
      <c r="T48" s="21" t="s">
        <v>460</v>
      </c>
      <c r="U48" s="21" t="s">
        <v>461</v>
      </c>
      <c r="V48" s="21" t="s">
        <v>462</v>
      </c>
      <c r="W48" s="20" t="s">
        <v>463</v>
      </c>
      <c r="X48" s="22" t="s">
        <v>464</v>
      </c>
      <c r="Y48" s="29">
        <v>2125</v>
      </c>
      <c r="Z48" s="30">
        <f t="shared" ref="Z48:Z49" si="3">ROUNDUP(Y48/39,)</f>
        <v>55</v>
      </c>
      <c r="AA48" s="30">
        <v>225</v>
      </c>
    </row>
    <row r="49" spans="1:27">
      <c r="A49" s="17" t="s">
        <v>450</v>
      </c>
      <c r="B49" s="16" t="s">
        <v>465</v>
      </c>
      <c r="C49" s="17" t="s">
        <v>466</v>
      </c>
      <c r="D49" s="9">
        <v>2350</v>
      </c>
      <c r="E49" s="9">
        <v>60</v>
      </c>
      <c r="F49" s="9">
        <v>270</v>
      </c>
      <c r="G49" s="18" t="s">
        <v>467</v>
      </c>
      <c r="H49" s="19" t="s">
        <v>31</v>
      </c>
      <c r="I49" s="20"/>
      <c r="J49" s="17" t="s">
        <v>454</v>
      </c>
      <c r="K49" s="17" t="s">
        <v>455</v>
      </c>
      <c r="L49" s="17" t="s">
        <v>456</v>
      </c>
      <c r="M49" s="17" t="s">
        <v>468</v>
      </c>
      <c r="N49" s="17" t="s">
        <v>469</v>
      </c>
      <c r="O49" s="17" t="s">
        <v>470</v>
      </c>
      <c r="P49" s="18" t="s">
        <v>401</v>
      </c>
      <c r="Q49" s="18" t="s">
        <v>402</v>
      </c>
      <c r="R49" s="18" t="s">
        <v>403</v>
      </c>
      <c r="S49" s="20" t="s">
        <v>121</v>
      </c>
      <c r="T49" s="21" t="s">
        <v>471</v>
      </c>
      <c r="U49" s="21" t="s">
        <v>472</v>
      </c>
      <c r="V49" s="21" t="s">
        <v>473</v>
      </c>
      <c r="W49" s="20" t="s">
        <v>463</v>
      </c>
      <c r="X49" s="22" t="s">
        <v>464</v>
      </c>
      <c r="Y49" s="29">
        <v>2585</v>
      </c>
      <c r="Z49" s="30">
        <f t="shared" si="3"/>
        <v>67</v>
      </c>
      <c r="AA49" s="30">
        <v>275</v>
      </c>
    </row>
    <row r="50" spans="1:27">
      <c r="A50" s="17" t="s">
        <v>474</v>
      </c>
      <c r="B50" s="16" t="s">
        <v>475</v>
      </c>
      <c r="C50" s="17" t="s">
        <v>476</v>
      </c>
      <c r="D50" s="9">
        <v>920</v>
      </c>
      <c r="E50" s="9">
        <v>24</v>
      </c>
      <c r="F50" s="9">
        <v>105</v>
      </c>
      <c r="G50" s="18" t="s">
        <v>477</v>
      </c>
      <c r="H50" s="19" t="s">
        <v>478</v>
      </c>
      <c r="I50" s="20"/>
      <c r="J50" s="17" t="s">
        <v>479</v>
      </c>
      <c r="K50" s="17" t="s">
        <v>480</v>
      </c>
      <c r="L50" s="17" t="s">
        <v>481</v>
      </c>
      <c r="M50" s="17" t="s">
        <v>482</v>
      </c>
      <c r="N50" s="17" t="s">
        <v>483</v>
      </c>
      <c r="O50" s="17" t="s">
        <v>484</v>
      </c>
      <c r="P50" s="18" t="s">
        <v>485</v>
      </c>
      <c r="Q50" s="18" t="s">
        <v>386</v>
      </c>
      <c r="R50" s="18" t="s">
        <v>486</v>
      </c>
      <c r="S50" s="20" t="s">
        <v>121</v>
      </c>
      <c r="T50" s="21" t="s">
        <v>121</v>
      </c>
      <c r="U50" s="21" t="s">
        <v>121</v>
      </c>
      <c r="V50" s="21" t="s">
        <v>121</v>
      </c>
      <c r="W50" s="20" t="s">
        <v>487</v>
      </c>
      <c r="X50" s="22" t="s">
        <v>488</v>
      </c>
      <c r="Y50" s="23">
        <v>920</v>
      </c>
      <c r="Z50" s="9">
        <v>24</v>
      </c>
      <c r="AA50" s="9">
        <v>105</v>
      </c>
    </row>
    <row r="51" spans="1:27">
      <c r="A51" s="17" t="s">
        <v>474</v>
      </c>
      <c r="B51" s="16" t="s">
        <v>489</v>
      </c>
      <c r="C51" s="17" t="s">
        <v>490</v>
      </c>
      <c r="D51" s="9">
        <v>1120</v>
      </c>
      <c r="E51" s="9">
        <v>29</v>
      </c>
      <c r="F51" s="9">
        <v>130</v>
      </c>
      <c r="G51" s="18" t="s">
        <v>491</v>
      </c>
      <c r="H51" s="19" t="s">
        <v>478</v>
      </c>
      <c r="I51" s="20"/>
      <c r="J51" s="17" t="s">
        <v>479</v>
      </c>
      <c r="K51" s="17" t="s">
        <v>480</v>
      </c>
      <c r="L51" s="17" t="s">
        <v>481</v>
      </c>
      <c r="M51" s="17" t="s">
        <v>492</v>
      </c>
      <c r="N51" s="17" t="s">
        <v>493</v>
      </c>
      <c r="O51" s="17" t="s">
        <v>494</v>
      </c>
      <c r="P51" s="18" t="s">
        <v>485</v>
      </c>
      <c r="Q51" s="18" t="s">
        <v>386</v>
      </c>
      <c r="R51" s="18" t="s">
        <v>486</v>
      </c>
      <c r="S51" s="20" t="s">
        <v>121</v>
      </c>
      <c r="T51" s="21" t="s">
        <v>121</v>
      </c>
      <c r="U51" s="21" t="s">
        <v>121</v>
      </c>
      <c r="V51" s="21" t="s">
        <v>121</v>
      </c>
      <c r="W51" s="20" t="s">
        <v>487</v>
      </c>
      <c r="X51" s="22" t="s">
        <v>488</v>
      </c>
      <c r="Y51" s="23">
        <v>1120</v>
      </c>
      <c r="Z51" s="9">
        <v>29</v>
      </c>
      <c r="AA51" s="9">
        <v>130</v>
      </c>
    </row>
    <row r="52" spans="1:27">
      <c r="A52" s="17" t="s">
        <v>474</v>
      </c>
      <c r="B52" s="16" t="s">
        <v>495</v>
      </c>
      <c r="C52" s="17" t="s">
        <v>496</v>
      </c>
      <c r="D52" s="9">
        <v>1520</v>
      </c>
      <c r="E52" s="9">
        <v>39</v>
      </c>
      <c r="F52" s="9">
        <v>175</v>
      </c>
      <c r="G52" s="18" t="s">
        <v>497</v>
      </c>
      <c r="H52" s="19" t="s">
        <v>478</v>
      </c>
      <c r="I52" s="20"/>
      <c r="J52" s="17" t="s">
        <v>498</v>
      </c>
      <c r="K52" s="17" t="s">
        <v>499</v>
      </c>
      <c r="L52" s="17" t="s">
        <v>500</v>
      </c>
      <c r="M52" s="17" t="s">
        <v>501</v>
      </c>
      <c r="N52" s="17" t="s">
        <v>502</v>
      </c>
      <c r="O52" s="17" t="s">
        <v>503</v>
      </c>
      <c r="P52" s="18" t="s">
        <v>38</v>
      </c>
      <c r="Q52" s="18" t="s">
        <v>38</v>
      </c>
      <c r="R52" s="18" t="s">
        <v>38</v>
      </c>
      <c r="S52" s="20">
        <v>4</v>
      </c>
      <c r="T52" s="21" t="s">
        <v>121</v>
      </c>
      <c r="U52" s="21" t="s">
        <v>121</v>
      </c>
      <c r="V52" s="21" t="s">
        <v>121</v>
      </c>
      <c r="W52" s="20" t="s">
        <v>487</v>
      </c>
      <c r="X52" s="22" t="s">
        <v>488</v>
      </c>
      <c r="Y52" s="23">
        <v>1520</v>
      </c>
      <c r="Z52" s="9">
        <v>39</v>
      </c>
      <c r="AA52" s="9">
        <v>175</v>
      </c>
    </row>
    <row r="53" spans="1:27">
      <c r="A53" s="17" t="s">
        <v>474</v>
      </c>
      <c r="B53" s="16" t="s">
        <v>504</v>
      </c>
      <c r="C53" s="17" t="s">
        <v>505</v>
      </c>
      <c r="D53" s="9">
        <v>1695</v>
      </c>
      <c r="E53" s="9">
        <v>43</v>
      </c>
      <c r="F53" s="9">
        <v>195</v>
      </c>
      <c r="G53" s="18" t="s">
        <v>506</v>
      </c>
      <c r="H53" s="19" t="s">
        <v>478</v>
      </c>
      <c r="I53" s="20"/>
      <c r="J53" s="17" t="s">
        <v>507</v>
      </c>
      <c r="K53" s="17" t="s">
        <v>508</v>
      </c>
      <c r="L53" s="17" t="s">
        <v>509</v>
      </c>
      <c r="M53" s="17" t="s">
        <v>510</v>
      </c>
      <c r="N53" s="17" t="s">
        <v>511</v>
      </c>
      <c r="O53" s="17" t="s">
        <v>512</v>
      </c>
      <c r="P53" s="18" t="s">
        <v>38</v>
      </c>
      <c r="Q53" s="18" t="s">
        <v>38</v>
      </c>
      <c r="R53" s="18" t="s">
        <v>38</v>
      </c>
      <c r="S53" s="20">
        <v>4</v>
      </c>
      <c r="T53" s="21" t="s">
        <v>121</v>
      </c>
      <c r="U53" s="21" t="s">
        <v>121</v>
      </c>
      <c r="V53" s="21" t="s">
        <v>121</v>
      </c>
      <c r="W53" s="20" t="s">
        <v>487</v>
      </c>
      <c r="X53" s="22" t="s">
        <v>488</v>
      </c>
      <c r="Y53" s="23">
        <v>1695</v>
      </c>
      <c r="Z53" s="9">
        <v>43</v>
      </c>
      <c r="AA53" s="9">
        <v>195</v>
      </c>
    </row>
    <row r="54" spans="1:27">
      <c r="A54" s="17" t="s">
        <v>474</v>
      </c>
      <c r="B54" s="16" t="s">
        <v>513</v>
      </c>
      <c r="C54" s="16" t="s">
        <v>514</v>
      </c>
      <c r="D54" s="9">
        <v>1705</v>
      </c>
      <c r="E54" s="9">
        <v>44</v>
      </c>
      <c r="F54" s="9">
        <v>200</v>
      </c>
      <c r="G54" s="18" t="s">
        <v>515</v>
      </c>
      <c r="H54" s="19" t="s">
        <v>478</v>
      </c>
      <c r="I54" s="20"/>
      <c r="J54" s="17" t="s">
        <v>516</v>
      </c>
      <c r="K54" s="17" t="s">
        <v>517</v>
      </c>
      <c r="L54" s="17" t="s">
        <v>518</v>
      </c>
      <c r="M54" s="17" t="s">
        <v>519</v>
      </c>
      <c r="N54" s="17"/>
      <c r="O54" s="17" t="s">
        <v>520</v>
      </c>
      <c r="P54" s="18" t="s">
        <v>38</v>
      </c>
      <c r="Q54" s="18" t="s">
        <v>38</v>
      </c>
      <c r="R54" s="18" t="s">
        <v>38</v>
      </c>
      <c r="S54" s="20">
        <v>4</v>
      </c>
      <c r="T54" s="21" t="s">
        <v>121</v>
      </c>
      <c r="U54" s="21" t="s">
        <v>121</v>
      </c>
      <c r="V54" s="21" t="s">
        <v>121</v>
      </c>
      <c r="W54" s="20" t="s">
        <v>487</v>
      </c>
      <c r="X54" s="22" t="s">
        <v>488</v>
      </c>
      <c r="Y54" s="23">
        <v>1705</v>
      </c>
      <c r="Z54" s="9">
        <v>44</v>
      </c>
      <c r="AA54" s="9">
        <v>200</v>
      </c>
    </row>
    <row r="55" spans="1:27">
      <c r="A55" s="17" t="s">
        <v>474</v>
      </c>
      <c r="B55" s="16" t="s">
        <v>521</v>
      </c>
      <c r="C55" s="17" t="s">
        <v>522</v>
      </c>
      <c r="D55" s="9">
        <v>805</v>
      </c>
      <c r="E55" s="9">
        <v>21</v>
      </c>
      <c r="F55" s="9">
        <v>95</v>
      </c>
      <c r="G55" s="18" t="s">
        <v>523</v>
      </c>
      <c r="H55" s="19" t="s">
        <v>478</v>
      </c>
      <c r="I55" s="20">
        <v>4820122950238</v>
      </c>
      <c r="J55" s="17" t="s">
        <v>524</v>
      </c>
      <c r="K55" s="17" t="s">
        <v>525</v>
      </c>
      <c r="L55" s="17" t="s">
        <v>526</v>
      </c>
      <c r="M55" s="17" t="s">
        <v>527</v>
      </c>
      <c r="N55" s="17" t="s">
        <v>528</v>
      </c>
      <c r="O55" s="17" t="s">
        <v>529</v>
      </c>
      <c r="P55" s="18" t="s">
        <v>530</v>
      </c>
      <c r="Q55" s="18" t="s">
        <v>531</v>
      </c>
      <c r="R55" s="18" t="s">
        <v>532</v>
      </c>
      <c r="S55" s="20" t="s">
        <v>121</v>
      </c>
      <c r="T55" s="21" t="s">
        <v>137</v>
      </c>
      <c r="U55" s="21" t="s">
        <v>137</v>
      </c>
      <c r="V55" s="21" t="s">
        <v>137</v>
      </c>
      <c r="W55" s="20" t="s">
        <v>487</v>
      </c>
      <c r="X55" s="22" t="s">
        <v>488</v>
      </c>
      <c r="Y55" s="23">
        <v>805</v>
      </c>
      <c r="Z55" s="9">
        <v>21</v>
      </c>
      <c r="AA55" s="9">
        <v>95</v>
      </c>
    </row>
    <row r="56" spans="1:27">
      <c r="A56" s="17" t="s">
        <v>474</v>
      </c>
      <c r="B56" s="16" t="s">
        <v>533</v>
      </c>
      <c r="C56" s="17" t="s">
        <v>534</v>
      </c>
      <c r="D56" s="9">
        <v>805</v>
      </c>
      <c r="E56" s="9">
        <v>21</v>
      </c>
      <c r="F56" s="9">
        <v>95</v>
      </c>
      <c r="G56" s="18" t="s">
        <v>535</v>
      </c>
      <c r="H56" s="19" t="s">
        <v>478</v>
      </c>
      <c r="I56" s="20">
        <v>4820122950245</v>
      </c>
      <c r="J56" s="17" t="s">
        <v>536</v>
      </c>
      <c r="K56" s="17" t="s">
        <v>537</v>
      </c>
      <c r="L56" s="17" t="s">
        <v>538</v>
      </c>
      <c r="M56" s="17" t="s">
        <v>527</v>
      </c>
      <c r="N56" s="17" t="s">
        <v>528</v>
      </c>
      <c r="O56" s="17" t="s">
        <v>529</v>
      </c>
      <c r="P56" s="18" t="s">
        <v>530</v>
      </c>
      <c r="Q56" s="18" t="s">
        <v>531</v>
      </c>
      <c r="R56" s="18" t="s">
        <v>532</v>
      </c>
      <c r="S56" s="20" t="s">
        <v>121</v>
      </c>
      <c r="T56" s="21" t="s">
        <v>137</v>
      </c>
      <c r="U56" s="21" t="s">
        <v>137</v>
      </c>
      <c r="V56" s="21" t="s">
        <v>137</v>
      </c>
      <c r="W56" s="20" t="s">
        <v>487</v>
      </c>
      <c r="X56" s="22" t="s">
        <v>488</v>
      </c>
      <c r="Y56" s="23">
        <v>805</v>
      </c>
      <c r="Z56" s="9">
        <v>21</v>
      </c>
      <c r="AA56" s="9">
        <v>95</v>
      </c>
    </row>
    <row r="57" spans="1:27">
      <c r="A57" s="17" t="s">
        <v>474</v>
      </c>
      <c r="B57" s="16" t="s">
        <v>539</v>
      </c>
      <c r="C57" s="17" t="s">
        <v>540</v>
      </c>
      <c r="D57" s="9">
        <v>805</v>
      </c>
      <c r="E57" s="9">
        <v>21</v>
      </c>
      <c r="F57" s="9">
        <v>95</v>
      </c>
      <c r="G57" s="18" t="s">
        <v>541</v>
      </c>
      <c r="H57" s="19" t="s">
        <v>478</v>
      </c>
      <c r="I57" s="20">
        <v>4820122950252</v>
      </c>
      <c r="J57" s="17" t="s">
        <v>542</v>
      </c>
      <c r="K57" s="17" t="s">
        <v>543</v>
      </c>
      <c r="L57" s="17" t="s">
        <v>544</v>
      </c>
      <c r="M57" s="17" t="s">
        <v>527</v>
      </c>
      <c r="N57" s="17" t="s">
        <v>528</v>
      </c>
      <c r="O57" s="17" t="s">
        <v>529</v>
      </c>
      <c r="P57" s="18" t="s">
        <v>530</v>
      </c>
      <c r="Q57" s="18" t="s">
        <v>531</v>
      </c>
      <c r="R57" s="18" t="s">
        <v>532</v>
      </c>
      <c r="S57" s="20" t="s">
        <v>121</v>
      </c>
      <c r="T57" s="21" t="s">
        <v>137</v>
      </c>
      <c r="U57" s="21" t="s">
        <v>137</v>
      </c>
      <c r="V57" s="21" t="s">
        <v>137</v>
      </c>
      <c r="W57" s="20" t="s">
        <v>487</v>
      </c>
      <c r="X57" s="22" t="s">
        <v>488</v>
      </c>
      <c r="Y57" s="23">
        <v>805</v>
      </c>
      <c r="Z57" s="9">
        <v>21</v>
      </c>
      <c r="AA57" s="9">
        <v>95</v>
      </c>
    </row>
    <row r="58" spans="1:27">
      <c r="A58" s="17" t="s">
        <v>474</v>
      </c>
      <c r="B58" s="16" t="s">
        <v>545</v>
      </c>
      <c r="C58" s="17" t="s">
        <v>546</v>
      </c>
      <c r="D58" s="9">
        <v>3990</v>
      </c>
      <c r="E58" s="9">
        <v>102</v>
      </c>
      <c r="F58" s="9">
        <v>460</v>
      </c>
      <c r="G58" s="18" t="s">
        <v>547</v>
      </c>
      <c r="H58" s="19" t="s">
        <v>548</v>
      </c>
      <c r="I58" s="20"/>
      <c r="J58" s="17" t="s">
        <v>549</v>
      </c>
      <c r="K58" s="17" t="s">
        <v>550</v>
      </c>
      <c r="L58" s="17" t="s">
        <v>551</v>
      </c>
      <c r="M58" s="17" t="s">
        <v>552</v>
      </c>
      <c r="N58" s="17" t="s">
        <v>553</v>
      </c>
      <c r="O58" s="17" t="s">
        <v>554</v>
      </c>
      <c r="P58" s="18" t="s">
        <v>38</v>
      </c>
      <c r="Q58" s="18" t="s">
        <v>38</v>
      </c>
      <c r="R58" s="18" t="s">
        <v>38</v>
      </c>
      <c r="S58" s="20">
        <v>8</v>
      </c>
      <c r="T58" s="21" t="s">
        <v>126</v>
      </c>
      <c r="U58" s="21" t="s">
        <v>126</v>
      </c>
      <c r="V58" s="21" t="s">
        <v>126</v>
      </c>
      <c r="W58" s="20" t="s">
        <v>487</v>
      </c>
      <c r="X58" s="22" t="s">
        <v>488</v>
      </c>
      <c r="Y58" s="23">
        <v>3990</v>
      </c>
      <c r="Z58" s="9">
        <v>102</v>
      </c>
      <c r="AA58" s="9">
        <v>460</v>
      </c>
    </row>
    <row r="59" spans="1:27">
      <c r="A59" s="17" t="s">
        <v>474</v>
      </c>
      <c r="B59" s="16" t="s">
        <v>555</v>
      </c>
      <c r="C59" s="17" t="s">
        <v>556</v>
      </c>
      <c r="D59" s="9">
        <v>3840</v>
      </c>
      <c r="E59" s="9">
        <v>98</v>
      </c>
      <c r="F59" s="9">
        <v>445</v>
      </c>
      <c r="G59" s="18" t="s">
        <v>557</v>
      </c>
      <c r="H59" s="19" t="s">
        <v>548</v>
      </c>
      <c r="I59" s="20"/>
      <c r="J59" s="17" t="s">
        <v>558</v>
      </c>
      <c r="K59" s="17" t="s">
        <v>559</v>
      </c>
      <c r="L59" s="17" t="s">
        <v>560</v>
      </c>
      <c r="M59" s="17" t="s">
        <v>561</v>
      </c>
      <c r="N59" s="17" t="s">
        <v>562</v>
      </c>
      <c r="O59" s="17" t="s">
        <v>563</v>
      </c>
      <c r="P59" s="18" t="s">
        <v>38</v>
      </c>
      <c r="Q59" s="18" t="s">
        <v>38</v>
      </c>
      <c r="R59" s="18" t="s">
        <v>38</v>
      </c>
      <c r="S59" s="20">
        <v>8</v>
      </c>
      <c r="T59" s="21" t="s">
        <v>126</v>
      </c>
      <c r="U59" s="21" t="s">
        <v>126</v>
      </c>
      <c r="V59" s="21" t="s">
        <v>126</v>
      </c>
      <c r="W59" s="20" t="s">
        <v>487</v>
      </c>
      <c r="X59" s="22" t="s">
        <v>488</v>
      </c>
      <c r="Y59" s="23">
        <v>3840</v>
      </c>
      <c r="Z59" s="9">
        <v>98</v>
      </c>
      <c r="AA59" s="9">
        <v>445</v>
      </c>
    </row>
    <row r="60" spans="1:27">
      <c r="A60" s="17" t="s">
        <v>474</v>
      </c>
      <c r="B60" s="16" t="s">
        <v>564</v>
      </c>
      <c r="C60" s="17" t="s">
        <v>565</v>
      </c>
      <c r="D60" s="21" t="s">
        <v>566</v>
      </c>
      <c r="E60" s="21" t="s">
        <v>567</v>
      </c>
      <c r="F60" s="21" t="s">
        <v>568</v>
      </c>
      <c r="G60" s="28" t="s">
        <v>569</v>
      </c>
      <c r="H60" s="39" t="s">
        <v>548</v>
      </c>
      <c r="I60" s="20"/>
      <c r="J60" s="17" t="s">
        <v>570</v>
      </c>
      <c r="K60" s="17" t="s">
        <v>571</v>
      </c>
      <c r="L60" s="17" t="s">
        <v>572</v>
      </c>
      <c r="M60" s="17"/>
      <c r="N60" s="17"/>
      <c r="O60" s="17"/>
      <c r="P60" s="18" t="s">
        <v>38</v>
      </c>
      <c r="Q60" s="18" t="s">
        <v>38</v>
      </c>
      <c r="R60" s="18" t="s">
        <v>38</v>
      </c>
      <c r="S60" s="20">
        <v>2</v>
      </c>
      <c r="T60" s="21" t="s">
        <v>573</v>
      </c>
      <c r="U60" s="21" t="s">
        <v>573</v>
      </c>
      <c r="V60" s="21" t="s">
        <v>573</v>
      </c>
      <c r="W60" s="20" t="s">
        <v>487</v>
      </c>
      <c r="X60" s="22" t="s">
        <v>488</v>
      </c>
      <c r="Y60" s="33" t="s">
        <v>566</v>
      </c>
      <c r="Z60" s="21" t="s">
        <v>567</v>
      </c>
      <c r="AA60" s="21" t="s">
        <v>568</v>
      </c>
    </row>
    <row r="61" spans="1:27">
      <c r="A61" s="17" t="s">
        <v>474</v>
      </c>
      <c r="B61" s="16" t="s">
        <v>574</v>
      </c>
      <c r="C61" s="17" t="s">
        <v>575</v>
      </c>
      <c r="D61" s="9">
        <v>4655</v>
      </c>
      <c r="E61" s="9">
        <v>136</v>
      </c>
      <c r="F61" s="9">
        <v>1100</v>
      </c>
      <c r="G61" s="18" t="s">
        <v>576</v>
      </c>
      <c r="H61" s="19" t="s">
        <v>577</v>
      </c>
      <c r="I61" s="20"/>
      <c r="J61" s="17" t="s">
        <v>578</v>
      </c>
      <c r="K61" s="17" t="s">
        <v>579</v>
      </c>
      <c r="L61" s="17" t="s">
        <v>580</v>
      </c>
      <c r="M61" s="17" t="s">
        <v>581</v>
      </c>
      <c r="N61" s="17" t="s">
        <v>582</v>
      </c>
      <c r="O61" s="17" t="s">
        <v>583</v>
      </c>
      <c r="P61" s="18" t="s">
        <v>38</v>
      </c>
      <c r="Q61" s="18" t="s">
        <v>38</v>
      </c>
      <c r="R61" s="18" t="s">
        <v>38</v>
      </c>
      <c r="S61" s="20">
        <v>8</v>
      </c>
      <c r="T61" s="21" t="s">
        <v>126</v>
      </c>
      <c r="U61" s="21" t="s">
        <v>126</v>
      </c>
      <c r="V61" s="21" t="s">
        <v>126</v>
      </c>
      <c r="W61" s="20" t="s">
        <v>487</v>
      </c>
      <c r="X61" s="22" t="s">
        <v>488</v>
      </c>
      <c r="Y61" s="23">
        <v>4655</v>
      </c>
      <c r="Z61" s="9">
        <v>136</v>
      </c>
      <c r="AA61" s="9">
        <v>1100</v>
      </c>
    </row>
    <row r="62" spans="1:27">
      <c r="A62" s="17" t="s">
        <v>474</v>
      </c>
      <c r="B62" s="16" t="s">
        <v>584</v>
      </c>
      <c r="C62" s="17" t="s">
        <v>585</v>
      </c>
      <c r="D62" s="9">
        <v>5115</v>
      </c>
      <c r="E62" s="9">
        <v>149</v>
      </c>
      <c r="F62" s="9">
        <v>1150</v>
      </c>
      <c r="G62" s="18" t="s">
        <v>586</v>
      </c>
      <c r="H62" s="19" t="s">
        <v>577</v>
      </c>
      <c r="I62" s="20"/>
      <c r="J62" s="17" t="s">
        <v>578</v>
      </c>
      <c r="K62" s="17" t="s">
        <v>579</v>
      </c>
      <c r="L62" s="17" t="s">
        <v>580</v>
      </c>
      <c r="M62" s="17" t="s">
        <v>587</v>
      </c>
      <c r="N62" s="17" t="s">
        <v>588</v>
      </c>
      <c r="O62" s="17" t="s">
        <v>589</v>
      </c>
      <c r="P62" s="18" t="s">
        <v>385</v>
      </c>
      <c r="Q62" s="18" t="s">
        <v>386</v>
      </c>
      <c r="R62" s="18" t="s">
        <v>590</v>
      </c>
      <c r="S62" s="20" t="s">
        <v>121</v>
      </c>
      <c r="T62" s="21" t="s">
        <v>126</v>
      </c>
      <c r="U62" s="21" t="s">
        <v>126</v>
      </c>
      <c r="V62" s="21" t="s">
        <v>126</v>
      </c>
      <c r="W62" s="20" t="s">
        <v>487</v>
      </c>
      <c r="X62" s="22" t="s">
        <v>488</v>
      </c>
      <c r="Y62" s="23">
        <v>5115</v>
      </c>
      <c r="Z62" s="9">
        <v>149</v>
      </c>
      <c r="AA62" s="9">
        <v>1150</v>
      </c>
    </row>
    <row r="63" spans="1:27">
      <c r="A63" s="16" t="s">
        <v>591</v>
      </c>
      <c r="B63" s="16" t="s">
        <v>592</v>
      </c>
      <c r="C63" s="17" t="s">
        <v>593</v>
      </c>
      <c r="D63" s="9">
        <v>4240</v>
      </c>
      <c r="E63" s="9">
        <v>109</v>
      </c>
      <c r="F63" s="9">
        <v>490</v>
      </c>
      <c r="G63" s="18" t="s">
        <v>594</v>
      </c>
      <c r="H63" s="19" t="s">
        <v>478</v>
      </c>
      <c r="I63" s="20"/>
      <c r="J63" s="17" t="s">
        <v>595</v>
      </c>
      <c r="K63" s="17" t="s">
        <v>596</v>
      </c>
      <c r="L63" s="17" t="s">
        <v>597</v>
      </c>
      <c r="M63" s="17" t="s">
        <v>598</v>
      </c>
      <c r="N63" s="17" t="s">
        <v>599</v>
      </c>
      <c r="O63" s="17" t="s">
        <v>600</v>
      </c>
      <c r="P63" s="18" t="s">
        <v>38</v>
      </c>
      <c r="Q63" s="18" t="s">
        <v>38</v>
      </c>
      <c r="R63" s="18" t="s">
        <v>38</v>
      </c>
      <c r="S63" s="20">
        <v>4</v>
      </c>
      <c r="T63" s="21" t="s">
        <v>137</v>
      </c>
      <c r="U63" s="21" t="s">
        <v>137</v>
      </c>
      <c r="V63" s="21" t="s">
        <v>137</v>
      </c>
      <c r="W63" s="20" t="s">
        <v>601</v>
      </c>
      <c r="X63" s="22" t="s">
        <v>602</v>
      </c>
      <c r="Y63" s="23">
        <v>4240</v>
      </c>
      <c r="Z63" s="9">
        <v>109</v>
      </c>
      <c r="AA63" s="9">
        <v>490</v>
      </c>
    </row>
    <row r="64" spans="1:27">
      <c r="A64" s="16" t="s">
        <v>591</v>
      </c>
      <c r="B64" s="16" t="s">
        <v>603</v>
      </c>
      <c r="C64" s="17" t="s">
        <v>604</v>
      </c>
      <c r="D64" s="9">
        <v>1805</v>
      </c>
      <c r="E64" s="9">
        <v>46</v>
      </c>
      <c r="F64" s="9">
        <v>210</v>
      </c>
      <c r="G64" s="18" t="s">
        <v>605</v>
      </c>
      <c r="H64" s="19" t="s">
        <v>478</v>
      </c>
      <c r="I64" s="20"/>
      <c r="J64" s="17" t="s">
        <v>606</v>
      </c>
      <c r="K64" s="17" t="s">
        <v>607</v>
      </c>
      <c r="L64" s="17" t="s">
        <v>608</v>
      </c>
      <c r="M64" s="17" t="s">
        <v>609</v>
      </c>
      <c r="N64" s="17" t="s">
        <v>610</v>
      </c>
      <c r="O64" s="17" t="s">
        <v>611</v>
      </c>
      <c r="P64" s="18" t="s">
        <v>38</v>
      </c>
      <c r="Q64" s="18" t="s">
        <v>38</v>
      </c>
      <c r="R64" s="18" t="s">
        <v>38</v>
      </c>
      <c r="S64" s="20">
        <v>3</v>
      </c>
      <c r="T64" s="21" t="s">
        <v>126</v>
      </c>
      <c r="U64" s="21" t="s">
        <v>126</v>
      </c>
      <c r="V64" s="21" t="s">
        <v>126</v>
      </c>
      <c r="W64" s="20" t="s">
        <v>601</v>
      </c>
      <c r="X64" s="22" t="s">
        <v>602</v>
      </c>
      <c r="Y64" s="23">
        <v>1805</v>
      </c>
      <c r="Z64" s="9">
        <v>46</v>
      </c>
      <c r="AA64" s="9">
        <v>210</v>
      </c>
    </row>
    <row r="65" spans="1:27">
      <c r="A65" s="17" t="s">
        <v>612</v>
      </c>
      <c r="B65" s="16" t="s">
        <v>613</v>
      </c>
      <c r="C65" s="17" t="s">
        <v>614</v>
      </c>
      <c r="D65" s="9">
        <v>14670</v>
      </c>
      <c r="E65" s="9">
        <v>376</v>
      </c>
      <c r="F65" s="9">
        <v>1700</v>
      </c>
      <c r="G65" s="18" t="s">
        <v>615</v>
      </c>
      <c r="H65" s="19" t="s">
        <v>616</v>
      </c>
      <c r="I65" s="20">
        <v>4820122950528</v>
      </c>
      <c r="J65" s="17" t="s">
        <v>617</v>
      </c>
      <c r="K65" s="17" t="s">
        <v>618</v>
      </c>
      <c r="L65" s="17" t="s">
        <v>619</v>
      </c>
      <c r="M65" s="17" t="s">
        <v>620</v>
      </c>
      <c r="N65" s="17" t="s">
        <v>621</v>
      </c>
      <c r="O65" s="17" t="s">
        <v>622</v>
      </c>
      <c r="P65" s="18" t="s">
        <v>38</v>
      </c>
      <c r="Q65" s="18" t="s">
        <v>38</v>
      </c>
      <c r="R65" s="18" t="s">
        <v>38</v>
      </c>
      <c r="S65" s="20">
        <v>9</v>
      </c>
      <c r="T65" s="21" t="s">
        <v>121</v>
      </c>
      <c r="U65" s="21" t="s">
        <v>121</v>
      </c>
      <c r="V65" s="21" t="s">
        <v>121</v>
      </c>
      <c r="W65" s="20" t="s">
        <v>623</v>
      </c>
      <c r="X65" s="22" t="s">
        <v>624</v>
      </c>
      <c r="Y65" s="23">
        <v>14670</v>
      </c>
      <c r="Z65" s="9">
        <v>376</v>
      </c>
      <c r="AA65" s="9">
        <v>1700</v>
      </c>
    </row>
    <row r="66" spans="1:27">
      <c r="A66" s="16" t="s">
        <v>612</v>
      </c>
      <c r="B66" s="16" t="s">
        <v>625</v>
      </c>
      <c r="C66" s="16" t="s">
        <v>626</v>
      </c>
      <c r="D66" s="21" t="s">
        <v>566</v>
      </c>
      <c r="E66" s="21" t="s">
        <v>567</v>
      </c>
      <c r="F66" s="21" t="s">
        <v>568</v>
      </c>
      <c r="G66" s="18" t="s">
        <v>627</v>
      </c>
      <c r="H66" s="31" t="s">
        <v>121</v>
      </c>
      <c r="I66" s="20" t="s">
        <v>121</v>
      </c>
      <c r="J66" s="16" t="s">
        <v>628</v>
      </c>
      <c r="K66" s="16" t="s">
        <v>629</v>
      </c>
      <c r="L66" s="16" t="s">
        <v>630</v>
      </c>
      <c r="M66" s="32" t="s">
        <v>631</v>
      </c>
      <c r="N66" s="16"/>
      <c r="O66" s="16"/>
      <c r="P66" s="28" t="s">
        <v>632</v>
      </c>
      <c r="Q66" s="18" t="s">
        <v>633</v>
      </c>
      <c r="R66" s="18" t="s">
        <v>634</v>
      </c>
      <c r="S66" s="20" t="s">
        <v>121</v>
      </c>
      <c r="T66" s="9" t="s">
        <v>635</v>
      </c>
      <c r="U66" s="9" t="s">
        <v>636</v>
      </c>
      <c r="V66" s="9" t="s">
        <v>636</v>
      </c>
      <c r="W66" s="20" t="s">
        <v>623</v>
      </c>
      <c r="X66" s="22" t="s">
        <v>624</v>
      </c>
      <c r="Y66" s="33" t="s">
        <v>566</v>
      </c>
      <c r="Z66" s="21" t="s">
        <v>567</v>
      </c>
      <c r="AA66" s="21" t="s">
        <v>568</v>
      </c>
    </row>
    <row r="67" spans="1:27">
      <c r="A67" s="16" t="s">
        <v>612</v>
      </c>
      <c r="B67" s="16" t="s">
        <v>637</v>
      </c>
      <c r="C67" s="16" t="s">
        <v>638</v>
      </c>
      <c r="D67" s="21" t="s">
        <v>566</v>
      </c>
      <c r="E67" s="21" t="s">
        <v>567</v>
      </c>
      <c r="F67" s="21" t="s">
        <v>568</v>
      </c>
      <c r="G67" s="28" t="s">
        <v>639</v>
      </c>
      <c r="H67" s="31" t="s">
        <v>121</v>
      </c>
      <c r="I67" s="20"/>
      <c r="J67" s="16" t="s">
        <v>640</v>
      </c>
      <c r="K67" s="16" t="s">
        <v>641</v>
      </c>
      <c r="L67" s="16" t="s">
        <v>642</v>
      </c>
      <c r="M67" s="32" t="s">
        <v>643</v>
      </c>
      <c r="N67" s="16"/>
      <c r="O67" s="16"/>
      <c r="P67" s="28" t="s">
        <v>632</v>
      </c>
      <c r="Q67" s="18" t="s">
        <v>633</v>
      </c>
      <c r="R67" s="18" t="s">
        <v>634</v>
      </c>
      <c r="S67" s="20" t="s">
        <v>121</v>
      </c>
      <c r="T67" s="9" t="s">
        <v>644</v>
      </c>
      <c r="U67" s="9" t="s">
        <v>645</v>
      </c>
      <c r="V67" s="9" t="s">
        <v>645</v>
      </c>
      <c r="W67" s="20" t="s">
        <v>623</v>
      </c>
      <c r="X67" s="22" t="s">
        <v>624</v>
      </c>
      <c r="Y67" s="33" t="s">
        <v>566</v>
      </c>
      <c r="Z67" s="21" t="s">
        <v>567</v>
      </c>
      <c r="AA67" s="21" t="s">
        <v>568</v>
      </c>
    </row>
    <row r="68" spans="1:27">
      <c r="A68" s="16" t="s">
        <v>612</v>
      </c>
      <c r="B68" s="16" t="s">
        <v>646</v>
      </c>
      <c r="C68" s="16" t="s">
        <v>647</v>
      </c>
      <c r="D68" s="21" t="s">
        <v>566</v>
      </c>
      <c r="E68" s="21" t="s">
        <v>567</v>
      </c>
      <c r="F68" s="21" t="s">
        <v>568</v>
      </c>
      <c r="G68" s="28" t="s">
        <v>648</v>
      </c>
      <c r="H68" s="31" t="s">
        <v>121</v>
      </c>
      <c r="I68" s="20"/>
      <c r="J68" s="16" t="s">
        <v>649</v>
      </c>
      <c r="K68" s="16" t="s">
        <v>650</v>
      </c>
      <c r="L68" s="16" t="s">
        <v>651</v>
      </c>
      <c r="M68" s="32" t="s">
        <v>652</v>
      </c>
      <c r="N68" s="16"/>
      <c r="O68" s="16"/>
      <c r="P68" s="28" t="s">
        <v>632</v>
      </c>
      <c r="Q68" s="18" t="s">
        <v>633</v>
      </c>
      <c r="R68" s="18" t="s">
        <v>634</v>
      </c>
      <c r="S68" s="20" t="s">
        <v>121</v>
      </c>
      <c r="T68" s="9" t="s">
        <v>653</v>
      </c>
      <c r="U68" s="9" t="s">
        <v>654</v>
      </c>
      <c r="V68" s="9" t="s">
        <v>654</v>
      </c>
      <c r="W68" s="20" t="s">
        <v>623</v>
      </c>
      <c r="X68" s="22" t="s">
        <v>624</v>
      </c>
      <c r="Y68" s="33" t="s">
        <v>566</v>
      </c>
      <c r="Z68" s="21" t="s">
        <v>567</v>
      </c>
      <c r="AA68" s="21" t="s">
        <v>568</v>
      </c>
    </row>
    <row r="69" spans="1:27">
      <c r="A69" s="16" t="s">
        <v>612</v>
      </c>
      <c r="B69" s="16" t="s">
        <v>655</v>
      </c>
      <c r="C69" s="16" t="s">
        <v>656</v>
      </c>
      <c r="D69" s="21" t="s">
        <v>566</v>
      </c>
      <c r="E69" s="21" t="s">
        <v>567</v>
      </c>
      <c r="F69" s="21" t="s">
        <v>568</v>
      </c>
      <c r="G69" s="28" t="s">
        <v>657</v>
      </c>
      <c r="H69" s="31" t="s">
        <v>121</v>
      </c>
      <c r="I69" s="20"/>
      <c r="J69" s="16" t="s">
        <v>658</v>
      </c>
      <c r="K69" s="16" t="s">
        <v>659</v>
      </c>
      <c r="L69" s="16" t="s">
        <v>660</v>
      </c>
      <c r="M69" s="32" t="s">
        <v>661</v>
      </c>
      <c r="N69" s="16"/>
      <c r="O69" s="16"/>
      <c r="P69" s="28" t="s">
        <v>632</v>
      </c>
      <c r="Q69" s="18" t="s">
        <v>633</v>
      </c>
      <c r="R69" s="18" t="s">
        <v>634</v>
      </c>
      <c r="S69" s="20" t="s">
        <v>121</v>
      </c>
      <c r="T69" s="9" t="s">
        <v>662</v>
      </c>
      <c r="U69" s="9" t="s">
        <v>663</v>
      </c>
      <c r="V69" s="9" t="s">
        <v>663</v>
      </c>
      <c r="W69" s="20" t="s">
        <v>623</v>
      </c>
      <c r="X69" s="22" t="s">
        <v>624</v>
      </c>
      <c r="Y69" s="33" t="s">
        <v>566</v>
      </c>
      <c r="Z69" s="21" t="s">
        <v>567</v>
      </c>
      <c r="AA69" s="21" t="s">
        <v>568</v>
      </c>
    </row>
    <row r="70" spans="1:27">
      <c r="A70" s="17" t="s">
        <v>664</v>
      </c>
      <c r="B70" s="16" t="s">
        <v>665</v>
      </c>
      <c r="C70" s="17" t="s">
        <v>666</v>
      </c>
      <c r="D70" s="9">
        <v>7565</v>
      </c>
      <c r="E70" s="9">
        <v>194</v>
      </c>
      <c r="F70" s="9">
        <v>870</v>
      </c>
      <c r="G70" s="18" t="s">
        <v>667</v>
      </c>
      <c r="H70" s="31" t="s">
        <v>668</v>
      </c>
      <c r="I70" s="20"/>
      <c r="J70" s="17" t="s">
        <v>669</v>
      </c>
      <c r="K70" s="17" t="s">
        <v>670</v>
      </c>
      <c r="L70" s="17" t="s">
        <v>671</v>
      </c>
      <c r="M70" s="17" t="s">
        <v>672</v>
      </c>
      <c r="N70" s="17"/>
      <c r="O70" s="17"/>
      <c r="P70" s="18" t="s">
        <v>385</v>
      </c>
      <c r="Q70" s="18" t="s">
        <v>386</v>
      </c>
      <c r="R70" s="18" t="s">
        <v>590</v>
      </c>
      <c r="S70" s="20" t="s">
        <v>121</v>
      </c>
      <c r="T70" s="21" t="s">
        <v>180</v>
      </c>
      <c r="U70" s="21" t="s">
        <v>180</v>
      </c>
      <c r="V70" s="21" t="s">
        <v>180</v>
      </c>
      <c r="W70" s="20" t="s">
        <v>673</v>
      </c>
      <c r="X70" s="22" t="s">
        <v>674</v>
      </c>
      <c r="Y70" s="23">
        <v>7565</v>
      </c>
      <c r="Z70" s="9">
        <v>194</v>
      </c>
      <c r="AA70" s="9">
        <v>870</v>
      </c>
    </row>
    <row r="71" spans="1:27">
      <c r="A71" s="16" t="s">
        <v>675</v>
      </c>
      <c r="B71" s="16" t="s">
        <v>676</v>
      </c>
      <c r="C71" s="17" t="s">
        <v>677</v>
      </c>
      <c r="D71" s="21">
        <v>36800</v>
      </c>
      <c r="E71" s="9">
        <v>944</v>
      </c>
      <c r="F71" s="9">
        <v>4300</v>
      </c>
      <c r="G71" s="18" t="s">
        <v>678</v>
      </c>
      <c r="H71" s="31" t="s">
        <v>679</v>
      </c>
      <c r="I71" s="20"/>
      <c r="J71" s="17" t="s">
        <v>680</v>
      </c>
      <c r="K71" s="17" t="s">
        <v>681</v>
      </c>
      <c r="L71" s="17" t="s">
        <v>682</v>
      </c>
      <c r="M71" s="17" t="s">
        <v>683</v>
      </c>
      <c r="N71" s="17"/>
      <c r="O71" s="17"/>
      <c r="P71" s="18" t="s">
        <v>684</v>
      </c>
      <c r="Q71" s="18" t="s">
        <v>685</v>
      </c>
      <c r="R71" s="18" t="s">
        <v>686</v>
      </c>
      <c r="S71" s="20" t="s">
        <v>121</v>
      </c>
      <c r="T71" s="21" t="s">
        <v>121</v>
      </c>
      <c r="U71" s="21" t="s">
        <v>121</v>
      </c>
      <c r="V71" s="21" t="s">
        <v>121</v>
      </c>
      <c r="W71" s="20" t="s">
        <v>681</v>
      </c>
      <c r="X71" s="22" t="s">
        <v>682</v>
      </c>
      <c r="Y71" s="33">
        <v>36800</v>
      </c>
      <c r="Z71" s="9">
        <v>944</v>
      </c>
      <c r="AA71" s="9">
        <v>4300</v>
      </c>
    </row>
    <row r="72" spans="1:27">
      <c r="A72" s="16" t="s">
        <v>675</v>
      </c>
      <c r="B72" s="16" t="s">
        <v>687</v>
      </c>
      <c r="C72" s="17" t="s">
        <v>688</v>
      </c>
      <c r="D72" s="21">
        <v>39680</v>
      </c>
      <c r="E72" s="9">
        <v>944</v>
      </c>
      <c r="F72" s="9" t="s">
        <v>121</v>
      </c>
      <c r="G72" s="18" t="s">
        <v>689</v>
      </c>
      <c r="H72" s="31" t="s">
        <v>121</v>
      </c>
      <c r="I72" s="20"/>
      <c r="J72" s="17" t="s">
        <v>690</v>
      </c>
      <c r="K72" s="17" t="s">
        <v>691</v>
      </c>
      <c r="L72" s="17" t="s">
        <v>692</v>
      </c>
      <c r="M72" s="17"/>
      <c r="N72" s="17"/>
      <c r="O72" s="17"/>
      <c r="P72" s="18" t="s">
        <v>684</v>
      </c>
      <c r="Q72" s="18" t="s">
        <v>685</v>
      </c>
      <c r="R72" s="18" t="s">
        <v>686</v>
      </c>
      <c r="S72" s="20"/>
      <c r="T72" s="21"/>
      <c r="U72" s="21"/>
      <c r="V72" s="21"/>
      <c r="W72" s="20" t="s">
        <v>681</v>
      </c>
      <c r="X72" s="22" t="s">
        <v>682</v>
      </c>
      <c r="Y72" s="33">
        <v>39680</v>
      </c>
      <c r="Z72" s="9">
        <v>944</v>
      </c>
      <c r="AA72" s="9" t="s">
        <v>121</v>
      </c>
    </row>
    <row r="73" spans="1:27">
      <c r="A73" s="17" t="s">
        <v>693</v>
      </c>
      <c r="B73" s="16" t="s">
        <v>694</v>
      </c>
      <c r="C73" s="17" t="s">
        <v>695</v>
      </c>
      <c r="D73" s="21">
        <v>240</v>
      </c>
      <c r="E73" s="9">
        <v>6</v>
      </c>
      <c r="F73" s="9">
        <v>30</v>
      </c>
      <c r="G73" s="18" t="s">
        <v>696</v>
      </c>
      <c r="H73" s="19" t="s">
        <v>697</v>
      </c>
      <c r="I73" s="20"/>
      <c r="J73" s="17" t="s">
        <v>698</v>
      </c>
      <c r="K73" s="17" t="s">
        <v>699</v>
      </c>
      <c r="L73" s="17" t="s">
        <v>700</v>
      </c>
      <c r="M73" s="17" t="s">
        <v>701</v>
      </c>
      <c r="N73" s="17"/>
      <c r="O73" s="17" t="s">
        <v>702</v>
      </c>
      <c r="P73" s="18" t="s">
        <v>684</v>
      </c>
      <c r="Q73" s="18" t="s">
        <v>685</v>
      </c>
      <c r="R73" s="18" t="s">
        <v>686</v>
      </c>
      <c r="S73" s="20" t="s">
        <v>121</v>
      </c>
      <c r="T73" s="21" t="s">
        <v>121</v>
      </c>
      <c r="U73" s="21" t="s">
        <v>121</v>
      </c>
      <c r="V73" s="21" t="s">
        <v>121</v>
      </c>
      <c r="W73" s="20" t="s">
        <v>703</v>
      </c>
      <c r="X73" s="22" t="s">
        <v>704</v>
      </c>
      <c r="Y73" s="33">
        <v>240</v>
      </c>
      <c r="Z73" s="9">
        <v>6</v>
      </c>
      <c r="AA73" s="9">
        <v>30</v>
      </c>
    </row>
    <row r="74" spans="1:27">
      <c r="A74" s="17" t="s">
        <v>693</v>
      </c>
      <c r="B74" s="16" t="s">
        <v>705</v>
      </c>
      <c r="C74" s="17" t="s">
        <v>706</v>
      </c>
      <c r="D74" s="21">
        <v>430</v>
      </c>
      <c r="E74" s="9">
        <v>11</v>
      </c>
      <c r="F74" s="9">
        <v>50</v>
      </c>
      <c r="G74" s="18" t="s">
        <v>707</v>
      </c>
      <c r="H74" s="19" t="s">
        <v>697</v>
      </c>
      <c r="I74" s="20"/>
      <c r="J74" s="17" t="s">
        <v>708</v>
      </c>
      <c r="K74" s="17" t="s">
        <v>709</v>
      </c>
      <c r="L74" s="17" t="s">
        <v>710</v>
      </c>
      <c r="M74" s="17" t="s">
        <v>711</v>
      </c>
      <c r="N74" s="17"/>
      <c r="O74" s="17" t="s">
        <v>712</v>
      </c>
      <c r="P74" s="18" t="s">
        <v>684</v>
      </c>
      <c r="Q74" s="18" t="s">
        <v>685</v>
      </c>
      <c r="R74" s="18" t="s">
        <v>686</v>
      </c>
      <c r="S74" s="20" t="s">
        <v>121</v>
      </c>
      <c r="T74" s="21" t="s">
        <v>121</v>
      </c>
      <c r="U74" s="21" t="s">
        <v>121</v>
      </c>
      <c r="V74" s="21" t="s">
        <v>121</v>
      </c>
      <c r="W74" s="20" t="s">
        <v>703</v>
      </c>
      <c r="X74" s="22" t="s">
        <v>704</v>
      </c>
      <c r="Y74" s="33">
        <v>430</v>
      </c>
      <c r="Z74" s="9">
        <v>11</v>
      </c>
      <c r="AA74" s="9">
        <v>50</v>
      </c>
    </row>
    <row r="75" spans="1:27">
      <c r="A75" s="17" t="s">
        <v>693</v>
      </c>
      <c r="B75" s="16" t="s">
        <v>713</v>
      </c>
      <c r="C75" s="17" t="s">
        <v>714</v>
      </c>
      <c r="D75" s="21">
        <v>1260</v>
      </c>
      <c r="E75" s="9">
        <v>32</v>
      </c>
      <c r="F75" s="9">
        <v>145</v>
      </c>
      <c r="G75" s="18" t="s">
        <v>715</v>
      </c>
      <c r="H75" s="19" t="s">
        <v>697</v>
      </c>
      <c r="I75" s="20"/>
      <c r="J75" s="17" t="s">
        <v>716</v>
      </c>
      <c r="K75" s="17" t="s">
        <v>717</v>
      </c>
      <c r="L75" s="17" t="s">
        <v>718</v>
      </c>
      <c r="M75" s="17" t="s">
        <v>719</v>
      </c>
      <c r="N75" s="17"/>
      <c r="O75" s="17" t="s">
        <v>720</v>
      </c>
      <c r="P75" s="18" t="s">
        <v>684</v>
      </c>
      <c r="Q75" s="18" t="s">
        <v>685</v>
      </c>
      <c r="R75" s="18" t="s">
        <v>686</v>
      </c>
      <c r="S75" s="20" t="s">
        <v>121</v>
      </c>
      <c r="T75" s="21" t="s">
        <v>121</v>
      </c>
      <c r="U75" s="21" t="s">
        <v>121</v>
      </c>
      <c r="V75" s="21" t="s">
        <v>121</v>
      </c>
      <c r="W75" s="20" t="s">
        <v>703</v>
      </c>
      <c r="X75" s="22" t="s">
        <v>704</v>
      </c>
      <c r="Y75" s="33">
        <v>1260</v>
      </c>
      <c r="Z75" s="9">
        <v>32</v>
      </c>
      <c r="AA75" s="9">
        <v>145</v>
      </c>
    </row>
    <row r="76" spans="1:27">
      <c r="A76" s="17" t="s">
        <v>693</v>
      </c>
      <c r="B76" s="16" t="s">
        <v>721</v>
      </c>
      <c r="C76" s="17" t="s">
        <v>722</v>
      </c>
      <c r="D76" s="21">
        <v>860</v>
      </c>
      <c r="E76" s="9">
        <v>22</v>
      </c>
      <c r="F76" s="9">
        <v>100</v>
      </c>
      <c r="G76" s="18" t="s">
        <v>723</v>
      </c>
      <c r="H76" s="19" t="s">
        <v>697</v>
      </c>
      <c r="I76" s="20"/>
      <c r="J76" s="17" t="s">
        <v>724</v>
      </c>
      <c r="K76" s="17" t="s">
        <v>725</v>
      </c>
      <c r="L76" s="17" t="s">
        <v>726</v>
      </c>
      <c r="M76" s="17" t="s">
        <v>727</v>
      </c>
      <c r="N76" s="17"/>
      <c r="O76" s="17" t="s">
        <v>728</v>
      </c>
      <c r="P76" s="18" t="s">
        <v>684</v>
      </c>
      <c r="Q76" s="18" t="s">
        <v>685</v>
      </c>
      <c r="R76" s="18" t="s">
        <v>686</v>
      </c>
      <c r="S76" s="20" t="s">
        <v>121</v>
      </c>
      <c r="T76" s="21" t="s">
        <v>121</v>
      </c>
      <c r="U76" s="21" t="s">
        <v>121</v>
      </c>
      <c r="V76" s="21" t="s">
        <v>121</v>
      </c>
      <c r="W76" s="20" t="s">
        <v>703</v>
      </c>
      <c r="X76" s="22" t="s">
        <v>704</v>
      </c>
      <c r="Y76" s="33">
        <v>860</v>
      </c>
      <c r="Z76" s="9">
        <v>22</v>
      </c>
      <c r="AA76" s="9">
        <v>100</v>
      </c>
    </row>
    <row r="77" spans="1:27">
      <c r="A77" s="17" t="s">
        <v>693</v>
      </c>
      <c r="B77" s="16" t="s">
        <v>729</v>
      </c>
      <c r="C77" s="16" t="s">
        <v>729</v>
      </c>
      <c r="D77" s="21" t="s">
        <v>121</v>
      </c>
      <c r="E77" s="9" t="s">
        <v>121</v>
      </c>
      <c r="F77" s="9">
        <v>72.5</v>
      </c>
      <c r="G77" s="28" t="s">
        <v>121</v>
      </c>
      <c r="H77" s="31" t="s">
        <v>121</v>
      </c>
      <c r="I77" s="20"/>
      <c r="J77" s="16" t="s">
        <v>121</v>
      </c>
      <c r="K77" s="16" t="s">
        <v>121</v>
      </c>
      <c r="L77" s="16" t="s">
        <v>730</v>
      </c>
      <c r="M77" s="17"/>
      <c r="N77" s="17"/>
      <c r="O77" s="32" t="s">
        <v>731</v>
      </c>
      <c r="P77" s="18" t="s">
        <v>684</v>
      </c>
      <c r="Q77" s="18" t="s">
        <v>685</v>
      </c>
      <c r="R77" s="18" t="s">
        <v>686</v>
      </c>
      <c r="S77" s="20" t="s">
        <v>121</v>
      </c>
      <c r="T77" s="21" t="s">
        <v>121</v>
      </c>
      <c r="U77" s="21" t="s">
        <v>121</v>
      </c>
      <c r="V77" s="21" t="s">
        <v>121</v>
      </c>
      <c r="W77" s="26" t="s">
        <v>121</v>
      </c>
      <c r="X77" s="40" t="s">
        <v>730</v>
      </c>
      <c r="Y77" s="33" t="s">
        <v>121</v>
      </c>
      <c r="Z77" s="9" t="s">
        <v>121</v>
      </c>
      <c r="AA77" s="9">
        <v>72.5</v>
      </c>
    </row>
    <row r="78" spans="1:27">
      <c r="A78" s="17" t="s">
        <v>732</v>
      </c>
      <c r="B78" s="16" t="s">
        <v>733</v>
      </c>
      <c r="C78" s="17" t="s">
        <v>734</v>
      </c>
      <c r="D78" s="9">
        <v>1750</v>
      </c>
      <c r="E78" s="9">
        <v>45</v>
      </c>
      <c r="F78" s="9">
        <v>205</v>
      </c>
      <c r="G78" s="18" t="s">
        <v>735</v>
      </c>
      <c r="H78" s="19" t="s">
        <v>173</v>
      </c>
      <c r="I78" s="20"/>
      <c r="J78" s="17" t="s">
        <v>736</v>
      </c>
      <c r="K78" s="17" t="s">
        <v>737</v>
      </c>
      <c r="L78" s="17" t="s">
        <v>738</v>
      </c>
      <c r="M78" s="17" t="s">
        <v>739</v>
      </c>
      <c r="N78" s="17" t="s">
        <v>740</v>
      </c>
      <c r="O78" s="17" t="s">
        <v>741</v>
      </c>
      <c r="P78" s="18" t="s">
        <v>38</v>
      </c>
      <c r="Q78" s="18" t="s">
        <v>38</v>
      </c>
      <c r="R78" s="18" t="s">
        <v>38</v>
      </c>
      <c r="S78" s="20">
        <v>1</v>
      </c>
      <c r="T78" s="21" t="s">
        <v>742</v>
      </c>
      <c r="U78" s="21" t="s">
        <v>742</v>
      </c>
      <c r="V78" s="21" t="s">
        <v>742</v>
      </c>
      <c r="W78" s="20" t="s">
        <v>743</v>
      </c>
      <c r="X78" s="22" t="s">
        <v>744</v>
      </c>
      <c r="Y78" s="23">
        <v>1750</v>
      </c>
      <c r="Z78" s="9">
        <v>45</v>
      </c>
      <c r="AA78" s="9">
        <v>205</v>
      </c>
    </row>
    <row r="79" spans="1:27">
      <c r="A79" s="17" t="s">
        <v>732</v>
      </c>
      <c r="B79" s="16" t="s">
        <v>745</v>
      </c>
      <c r="C79" s="17" t="s">
        <v>746</v>
      </c>
      <c r="D79" s="9">
        <v>3330</v>
      </c>
      <c r="E79" s="9">
        <v>85</v>
      </c>
      <c r="F79" s="9">
        <v>390</v>
      </c>
      <c r="G79" s="18" t="s">
        <v>747</v>
      </c>
      <c r="H79" s="19" t="s">
        <v>173</v>
      </c>
      <c r="I79" s="20"/>
      <c r="J79" s="17" t="s">
        <v>748</v>
      </c>
      <c r="K79" s="17" t="s">
        <v>749</v>
      </c>
      <c r="L79" s="17" t="s">
        <v>750</v>
      </c>
      <c r="M79" s="17" t="s">
        <v>751</v>
      </c>
      <c r="N79" s="17" t="s">
        <v>752</v>
      </c>
      <c r="O79" s="17" t="s">
        <v>753</v>
      </c>
      <c r="P79" s="18" t="s">
        <v>38</v>
      </c>
      <c r="Q79" s="18" t="s">
        <v>38</v>
      </c>
      <c r="R79" s="18" t="s">
        <v>38</v>
      </c>
      <c r="S79" s="20">
        <v>1</v>
      </c>
      <c r="T79" s="21" t="s">
        <v>121</v>
      </c>
      <c r="U79" s="21" t="s">
        <v>121</v>
      </c>
      <c r="V79" s="21" t="s">
        <v>121</v>
      </c>
      <c r="W79" s="20" t="s">
        <v>743</v>
      </c>
      <c r="X79" s="22" t="s">
        <v>744</v>
      </c>
      <c r="Y79" s="23">
        <v>3330</v>
      </c>
      <c r="Z79" s="9">
        <v>85</v>
      </c>
      <c r="AA79" s="9">
        <v>390</v>
      </c>
    </row>
    <row r="80" spans="1:27">
      <c r="A80" s="17" t="s">
        <v>754</v>
      </c>
      <c r="B80" s="16" t="s">
        <v>755</v>
      </c>
      <c r="C80" s="17" t="s">
        <v>756</v>
      </c>
      <c r="D80" s="9">
        <v>11610</v>
      </c>
      <c r="E80" s="9">
        <v>298</v>
      </c>
      <c r="F80" s="9">
        <v>1335</v>
      </c>
      <c r="G80" s="18" t="s">
        <v>757</v>
      </c>
      <c r="H80" s="19" t="s">
        <v>173</v>
      </c>
      <c r="I80" s="20"/>
      <c r="J80" s="17" t="s">
        <v>758</v>
      </c>
      <c r="K80" s="17" t="s">
        <v>759</v>
      </c>
      <c r="L80" s="17" t="s">
        <v>760</v>
      </c>
      <c r="M80" s="17" t="s">
        <v>761</v>
      </c>
      <c r="N80" s="17" t="s">
        <v>762</v>
      </c>
      <c r="O80" s="17" t="s">
        <v>763</v>
      </c>
      <c r="P80" s="18" t="s">
        <v>38</v>
      </c>
      <c r="Q80" s="18" t="s">
        <v>38</v>
      </c>
      <c r="R80" s="18" t="s">
        <v>38</v>
      </c>
      <c r="S80" s="20">
        <v>2</v>
      </c>
      <c r="T80" s="21" t="s">
        <v>121</v>
      </c>
      <c r="U80" s="21" t="s">
        <v>121</v>
      </c>
      <c r="V80" s="21" t="s">
        <v>121</v>
      </c>
      <c r="W80" s="20" t="s">
        <v>764</v>
      </c>
      <c r="X80" s="22" t="s">
        <v>765</v>
      </c>
      <c r="Y80" s="23">
        <v>11610</v>
      </c>
      <c r="Z80" s="9">
        <v>298</v>
      </c>
      <c r="AA80" s="9">
        <v>1335</v>
      </c>
    </row>
    <row r="81" spans="1:27">
      <c r="A81" s="17" t="s">
        <v>754</v>
      </c>
      <c r="B81" s="16" t="s">
        <v>766</v>
      </c>
      <c r="C81" s="17" t="s">
        <v>767</v>
      </c>
      <c r="D81" s="9">
        <v>13660</v>
      </c>
      <c r="E81" s="9">
        <v>350</v>
      </c>
      <c r="F81" s="9">
        <v>1570</v>
      </c>
      <c r="G81" s="18" t="s">
        <v>768</v>
      </c>
      <c r="H81" s="19" t="s">
        <v>173</v>
      </c>
      <c r="I81" s="20" t="s">
        <v>121</v>
      </c>
      <c r="J81" s="17" t="s">
        <v>769</v>
      </c>
      <c r="K81" s="17" t="s">
        <v>770</v>
      </c>
      <c r="L81" s="17" t="s">
        <v>771</v>
      </c>
      <c r="M81" s="17" t="s">
        <v>772</v>
      </c>
      <c r="N81" s="17" t="s">
        <v>773</v>
      </c>
      <c r="O81" s="17" t="s">
        <v>774</v>
      </c>
      <c r="P81" s="18" t="s">
        <v>38</v>
      </c>
      <c r="Q81" s="18" t="s">
        <v>38</v>
      </c>
      <c r="R81" s="18" t="s">
        <v>38</v>
      </c>
      <c r="S81" s="20">
        <v>9</v>
      </c>
      <c r="T81" s="21" t="s">
        <v>121</v>
      </c>
      <c r="U81" s="21" t="s">
        <v>121</v>
      </c>
      <c r="V81" s="21" t="s">
        <v>121</v>
      </c>
      <c r="W81" s="20" t="s">
        <v>764</v>
      </c>
      <c r="X81" s="22" t="s">
        <v>765</v>
      </c>
      <c r="Y81" s="23">
        <v>13660</v>
      </c>
      <c r="Z81" s="9">
        <v>350</v>
      </c>
      <c r="AA81" s="9">
        <v>1570</v>
      </c>
    </row>
    <row r="82" spans="1:27">
      <c r="A82" s="17" t="s">
        <v>754</v>
      </c>
      <c r="B82" s="16" t="s">
        <v>775</v>
      </c>
      <c r="C82" s="17" t="s">
        <v>776</v>
      </c>
      <c r="D82" s="9">
        <v>4205</v>
      </c>
      <c r="E82" s="9">
        <v>108</v>
      </c>
      <c r="F82" s="9">
        <v>485</v>
      </c>
      <c r="G82" s="18" t="s">
        <v>777</v>
      </c>
      <c r="H82" s="19" t="s">
        <v>173</v>
      </c>
      <c r="I82" s="20"/>
      <c r="J82" s="17" t="s">
        <v>778</v>
      </c>
      <c r="K82" s="17" t="s">
        <v>779</v>
      </c>
      <c r="L82" s="17" t="s">
        <v>780</v>
      </c>
      <c r="M82" s="17" t="s">
        <v>781</v>
      </c>
      <c r="N82" s="17" t="s">
        <v>782</v>
      </c>
      <c r="O82" s="17" t="s">
        <v>783</v>
      </c>
      <c r="P82" s="18" t="s">
        <v>38</v>
      </c>
      <c r="Q82" s="18" t="s">
        <v>38</v>
      </c>
      <c r="R82" s="18" t="s">
        <v>38</v>
      </c>
      <c r="S82" s="20">
        <v>1</v>
      </c>
      <c r="T82" s="21" t="s">
        <v>121</v>
      </c>
      <c r="U82" s="21" t="s">
        <v>121</v>
      </c>
      <c r="V82" s="21" t="s">
        <v>121</v>
      </c>
      <c r="W82" s="20" t="s">
        <v>764</v>
      </c>
      <c r="X82" s="22" t="s">
        <v>765</v>
      </c>
      <c r="Y82" s="23">
        <v>4205</v>
      </c>
      <c r="Z82" s="9">
        <v>108</v>
      </c>
      <c r="AA82" s="9">
        <v>485</v>
      </c>
    </row>
    <row r="83" spans="1:27">
      <c r="A83" s="17" t="s">
        <v>754</v>
      </c>
      <c r="B83" s="16" t="s">
        <v>784</v>
      </c>
      <c r="C83" s="17" t="s">
        <v>785</v>
      </c>
      <c r="D83" s="9">
        <v>4205</v>
      </c>
      <c r="E83" s="9">
        <v>108</v>
      </c>
      <c r="F83" s="9">
        <v>485</v>
      </c>
      <c r="G83" s="18" t="s">
        <v>786</v>
      </c>
      <c r="H83" s="19" t="s">
        <v>173</v>
      </c>
      <c r="I83" s="20"/>
      <c r="J83" s="17" t="s">
        <v>778</v>
      </c>
      <c r="K83" s="17" t="s">
        <v>779</v>
      </c>
      <c r="L83" s="17" t="s">
        <v>780</v>
      </c>
      <c r="M83" s="17" t="s">
        <v>787</v>
      </c>
      <c r="N83" s="17" t="s">
        <v>782</v>
      </c>
      <c r="O83" s="17" t="s">
        <v>783</v>
      </c>
      <c r="P83" s="18" t="s">
        <v>38</v>
      </c>
      <c r="Q83" s="18" t="s">
        <v>38</v>
      </c>
      <c r="R83" s="18" t="s">
        <v>38</v>
      </c>
      <c r="S83" s="20">
        <v>1</v>
      </c>
      <c r="T83" s="21" t="s">
        <v>121</v>
      </c>
      <c r="U83" s="21" t="s">
        <v>121</v>
      </c>
      <c r="V83" s="21" t="s">
        <v>121</v>
      </c>
      <c r="W83" s="20" t="s">
        <v>764</v>
      </c>
      <c r="X83" s="22" t="s">
        <v>765</v>
      </c>
      <c r="Y83" s="23">
        <v>4205</v>
      </c>
      <c r="Z83" s="9">
        <v>108</v>
      </c>
      <c r="AA83" s="9">
        <v>485</v>
      </c>
    </row>
    <row r="84" spans="1:27">
      <c r="A84" s="17" t="s">
        <v>754</v>
      </c>
      <c r="B84" s="16" t="s">
        <v>788</v>
      </c>
      <c r="C84" s="17" t="s">
        <v>789</v>
      </c>
      <c r="D84" s="9">
        <v>6900</v>
      </c>
      <c r="E84" s="9">
        <v>177</v>
      </c>
      <c r="F84" s="9">
        <v>795</v>
      </c>
      <c r="G84" s="18" t="s">
        <v>790</v>
      </c>
      <c r="H84" s="19" t="s">
        <v>173</v>
      </c>
      <c r="I84" s="20"/>
      <c r="J84" s="17" t="s">
        <v>791</v>
      </c>
      <c r="K84" s="17" t="s">
        <v>792</v>
      </c>
      <c r="L84" s="17" t="s">
        <v>793</v>
      </c>
      <c r="M84" s="17" t="s">
        <v>794</v>
      </c>
      <c r="N84" s="17"/>
      <c r="O84" s="17" t="s">
        <v>795</v>
      </c>
      <c r="P84" s="18" t="s">
        <v>38</v>
      </c>
      <c r="Q84" s="18" t="s">
        <v>38</v>
      </c>
      <c r="R84" s="18" t="s">
        <v>38</v>
      </c>
      <c r="S84" s="20">
        <v>1</v>
      </c>
      <c r="T84" s="21" t="s">
        <v>121</v>
      </c>
      <c r="U84" s="21" t="s">
        <v>121</v>
      </c>
      <c r="V84" s="21" t="s">
        <v>121</v>
      </c>
      <c r="W84" s="20" t="s">
        <v>764</v>
      </c>
      <c r="X84" s="22" t="s">
        <v>765</v>
      </c>
      <c r="Y84" s="23">
        <v>6900</v>
      </c>
      <c r="Z84" s="9">
        <v>177</v>
      </c>
      <c r="AA84" s="9">
        <v>795</v>
      </c>
    </row>
    <row r="85" spans="1:27">
      <c r="A85" s="19" t="s">
        <v>754</v>
      </c>
      <c r="B85" s="16" t="s">
        <v>796</v>
      </c>
      <c r="C85" s="17" t="s">
        <v>796</v>
      </c>
      <c r="D85" s="9">
        <v>7505</v>
      </c>
      <c r="E85" s="9">
        <v>192</v>
      </c>
      <c r="F85" s="9">
        <v>865</v>
      </c>
      <c r="G85" s="18" t="s">
        <v>797</v>
      </c>
      <c r="H85" s="19" t="s">
        <v>173</v>
      </c>
      <c r="I85" s="20"/>
      <c r="J85" s="19" t="s">
        <v>791</v>
      </c>
      <c r="K85" s="19" t="s">
        <v>792</v>
      </c>
      <c r="L85" s="19" t="s">
        <v>793</v>
      </c>
      <c r="M85" s="19" t="s">
        <v>798</v>
      </c>
      <c r="N85" s="19" t="s">
        <v>799</v>
      </c>
      <c r="O85" s="19" t="s">
        <v>800</v>
      </c>
      <c r="P85" s="18" t="s">
        <v>38</v>
      </c>
      <c r="Q85" s="18" t="s">
        <v>38</v>
      </c>
      <c r="R85" s="18" t="s">
        <v>38</v>
      </c>
      <c r="S85" s="20">
        <v>3</v>
      </c>
      <c r="T85" s="21" t="s">
        <v>121</v>
      </c>
      <c r="U85" s="21" t="s">
        <v>121</v>
      </c>
      <c r="V85" s="21" t="s">
        <v>121</v>
      </c>
      <c r="W85" s="20" t="s">
        <v>764</v>
      </c>
      <c r="X85" s="22" t="s">
        <v>765</v>
      </c>
      <c r="Y85" s="23">
        <v>7505</v>
      </c>
      <c r="Z85" s="9">
        <v>192</v>
      </c>
      <c r="AA85" s="9">
        <v>865</v>
      </c>
    </row>
    <row r="86" spans="1:27">
      <c r="A86" s="19" t="s">
        <v>754</v>
      </c>
      <c r="B86" s="16" t="s">
        <v>801</v>
      </c>
      <c r="C86" s="17" t="s">
        <v>801</v>
      </c>
      <c r="D86" s="9">
        <v>7695</v>
      </c>
      <c r="E86" s="9">
        <v>197</v>
      </c>
      <c r="F86" s="9">
        <v>885</v>
      </c>
      <c r="G86" s="18" t="s">
        <v>802</v>
      </c>
      <c r="H86" s="19" t="s">
        <v>173</v>
      </c>
      <c r="I86" s="20"/>
      <c r="J86" s="19" t="s">
        <v>791</v>
      </c>
      <c r="K86" s="19" t="s">
        <v>792</v>
      </c>
      <c r="L86" s="19" t="s">
        <v>793</v>
      </c>
      <c r="M86" s="19" t="s">
        <v>803</v>
      </c>
      <c r="N86" s="19"/>
      <c r="O86" s="19"/>
      <c r="P86" s="18" t="s">
        <v>38</v>
      </c>
      <c r="Q86" s="18" t="s">
        <v>38</v>
      </c>
      <c r="R86" s="18" t="s">
        <v>38</v>
      </c>
      <c r="S86" s="20">
        <v>3</v>
      </c>
      <c r="T86" s="21" t="s">
        <v>121</v>
      </c>
      <c r="U86" s="21" t="s">
        <v>121</v>
      </c>
      <c r="V86" s="21" t="s">
        <v>121</v>
      </c>
      <c r="W86" s="20" t="s">
        <v>764</v>
      </c>
      <c r="X86" s="22" t="s">
        <v>765</v>
      </c>
      <c r="Y86" s="23">
        <v>7695</v>
      </c>
      <c r="Z86" s="9">
        <v>197</v>
      </c>
      <c r="AA86" s="9">
        <v>885</v>
      </c>
    </row>
    <row r="87" spans="1:27">
      <c r="A87" s="19" t="s">
        <v>754</v>
      </c>
      <c r="B87" s="16" t="s">
        <v>804</v>
      </c>
      <c r="C87" s="16" t="s">
        <v>804</v>
      </c>
      <c r="D87" s="21">
        <v>23200</v>
      </c>
      <c r="E87" s="9">
        <v>595</v>
      </c>
      <c r="F87" s="9">
        <v>2700</v>
      </c>
      <c r="G87" s="28" t="s">
        <v>121</v>
      </c>
      <c r="H87" s="19" t="s">
        <v>173</v>
      </c>
      <c r="I87" s="20"/>
      <c r="J87" s="31" t="s">
        <v>805</v>
      </c>
      <c r="K87" s="19"/>
      <c r="L87" s="19"/>
      <c r="M87" s="41" t="s">
        <v>806</v>
      </c>
      <c r="N87" s="19"/>
      <c r="O87" s="19"/>
      <c r="P87" s="18" t="s">
        <v>684</v>
      </c>
      <c r="Q87" s="18" t="s">
        <v>685</v>
      </c>
      <c r="R87" s="18" t="s">
        <v>686</v>
      </c>
      <c r="S87" s="26" t="s">
        <v>121</v>
      </c>
      <c r="T87" s="9" t="s">
        <v>121</v>
      </c>
      <c r="U87" s="9" t="s">
        <v>121</v>
      </c>
      <c r="V87" s="9" t="s">
        <v>121</v>
      </c>
      <c r="W87" s="20"/>
      <c r="X87" s="22"/>
      <c r="Y87" s="33">
        <v>23200</v>
      </c>
      <c r="Z87" s="9">
        <v>595</v>
      </c>
      <c r="AA87" s="9">
        <v>2700</v>
      </c>
    </row>
    <row r="88" spans="1:27">
      <c r="A88" s="19" t="s">
        <v>807</v>
      </c>
      <c r="B88" s="16" t="s">
        <v>808</v>
      </c>
      <c r="C88" s="17" t="s">
        <v>809</v>
      </c>
      <c r="D88" s="9">
        <v>7410</v>
      </c>
      <c r="E88" s="9">
        <v>190</v>
      </c>
      <c r="F88" s="9">
        <v>850</v>
      </c>
      <c r="G88" s="18" t="s">
        <v>810</v>
      </c>
      <c r="H88" s="19" t="s">
        <v>31</v>
      </c>
      <c r="I88" s="20"/>
      <c r="J88" s="19" t="s">
        <v>811</v>
      </c>
      <c r="K88" s="19" t="s">
        <v>812</v>
      </c>
      <c r="L88" s="19" t="s">
        <v>813</v>
      </c>
      <c r="M88" s="19" t="s">
        <v>814</v>
      </c>
      <c r="N88" s="19" t="s">
        <v>815</v>
      </c>
      <c r="O88" s="19" t="s">
        <v>816</v>
      </c>
      <c r="P88" s="18" t="s">
        <v>38</v>
      </c>
      <c r="Q88" s="18" t="s">
        <v>38</v>
      </c>
      <c r="R88" s="18" t="s">
        <v>38</v>
      </c>
      <c r="S88" s="20">
        <v>9</v>
      </c>
      <c r="T88" s="21" t="s">
        <v>817</v>
      </c>
      <c r="U88" s="21" t="s">
        <v>818</v>
      </c>
      <c r="V88" s="21" t="s">
        <v>819</v>
      </c>
      <c r="W88" s="20" t="s">
        <v>820</v>
      </c>
      <c r="X88" s="22" t="s">
        <v>821</v>
      </c>
      <c r="Y88" s="23">
        <v>7410</v>
      </c>
      <c r="Z88" s="9">
        <v>190</v>
      </c>
      <c r="AA88" s="9">
        <v>850</v>
      </c>
    </row>
    <row r="89" spans="1:27">
      <c r="A89" s="19" t="s">
        <v>822</v>
      </c>
      <c r="B89" s="16" t="s">
        <v>823</v>
      </c>
      <c r="C89" s="17" t="s">
        <v>823</v>
      </c>
      <c r="D89" s="21">
        <v>1490</v>
      </c>
      <c r="E89" s="9">
        <v>38</v>
      </c>
      <c r="F89" s="9">
        <v>175</v>
      </c>
      <c r="G89" s="18" t="s">
        <v>824</v>
      </c>
      <c r="H89" s="19" t="s">
        <v>825</v>
      </c>
      <c r="I89" s="20"/>
      <c r="J89" s="19" t="s">
        <v>826</v>
      </c>
      <c r="K89" s="19" t="s">
        <v>827</v>
      </c>
      <c r="L89" s="19" t="s">
        <v>828</v>
      </c>
      <c r="M89" s="19" t="s">
        <v>829</v>
      </c>
      <c r="N89" s="19"/>
      <c r="O89" s="19" t="s">
        <v>830</v>
      </c>
      <c r="P89" s="18" t="s">
        <v>684</v>
      </c>
      <c r="Q89" s="18" t="s">
        <v>685</v>
      </c>
      <c r="R89" s="18" t="s">
        <v>686</v>
      </c>
      <c r="S89" s="20" t="s">
        <v>121</v>
      </c>
      <c r="T89" s="21" t="s">
        <v>121</v>
      </c>
      <c r="U89" s="21" t="s">
        <v>121</v>
      </c>
      <c r="V89" s="21" t="s">
        <v>121</v>
      </c>
      <c r="W89" s="20" t="s">
        <v>831</v>
      </c>
      <c r="X89" s="22" t="s">
        <v>832</v>
      </c>
      <c r="Y89" s="33">
        <v>1490</v>
      </c>
      <c r="Z89" s="9">
        <v>38</v>
      </c>
      <c r="AA89" s="9">
        <v>175</v>
      </c>
    </row>
    <row r="90" spans="1:27">
      <c r="A90" s="19" t="s">
        <v>822</v>
      </c>
      <c r="B90" s="16" t="s">
        <v>833</v>
      </c>
      <c r="C90" s="17" t="s">
        <v>833</v>
      </c>
      <c r="D90" s="21">
        <v>1730</v>
      </c>
      <c r="E90" s="9">
        <v>44</v>
      </c>
      <c r="F90" s="9">
        <v>200</v>
      </c>
      <c r="G90" s="18" t="s">
        <v>834</v>
      </c>
      <c r="H90" s="19" t="s">
        <v>825</v>
      </c>
      <c r="I90" s="20"/>
      <c r="J90" s="19" t="s">
        <v>835</v>
      </c>
      <c r="K90" s="19" t="s">
        <v>836</v>
      </c>
      <c r="L90" s="19" t="s">
        <v>837</v>
      </c>
      <c r="M90" s="19" t="s">
        <v>838</v>
      </c>
      <c r="N90" s="19"/>
      <c r="O90" s="19" t="s">
        <v>839</v>
      </c>
      <c r="P90" s="18" t="s">
        <v>684</v>
      </c>
      <c r="Q90" s="18" t="s">
        <v>685</v>
      </c>
      <c r="R90" s="18" t="s">
        <v>686</v>
      </c>
      <c r="S90" s="20" t="s">
        <v>121</v>
      </c>
      <c r="T90" s="21" t="s">
        <v>121</v>
      </c>
      <c r="U90" s="21" t="s">
        <v>121</v>
      </c>
      <c r="V90" s="21" t="s">
        <v>121</v>
      </c>
      <c r="W90" s="20" t="s">
        <v>831</v>
      </c>
      <c r="X90" s="22" t="s">
        <v>832</v>
      </c>
      <c r="Y90" s="33">
        <v>1730</v>
      </c>
      <c r="Z90" s="9">
        <v>44</v>
      </c>
      <c r="AA90" s="9">
        <v>200</v>
      </c>
    </row>
    <row r="91" spans="1:27">
      <c r="A91" s="19" t="s">
        <v>822</v>
      </c>
      <c r="B91" s="16" t="s">
        <v>840</v>
      </c>
      <c r="C91" s="17" t="s">
        <v>840</v>
      </c>
      <c r="D91" s="21">
        <v>1960</v>
      </c>
      <c r="E91" s="9">
        <v>50</v>
      </c>
      <c r="F91" s="9">
        <v>225</v>
      </c>
      <c r="G91" s="18" t="s">
        <v>841</v>
      </c>
      <c r="H91" s="19" t="s">
        <v>825</v>
      </c>
      <c r="I91" s="20"/>
      <c r="J91" s="19" t="s">
        <v>842</v>
      </c>
      <c r="K91" s="19" t="s">
        <v>843</v>
      </c>
      <c r="L91" s="19" t="s">
        <v>844</v>
      </c>
      <c r="M91" s="19" t="s">
        <v>845</v>
      </c>
      <c r="N91" s="19"/>
      <c r="O91" s="19" t="s">
        <v>846</v>
      </c>
      <c r="P91" s="18" t="s">
        <v>684</v>
      </c>
      <c r="Q91" s="18" t="s">
        <v>685</v>
      </c>
      <c r="R91" s="18" t="s">
        <v>686</v>
      </c>
      <c r="S91" s="20" t="s">
        <v>121</v>
      </c>
      <c r="T91" s="21" t="s">
        <v>121</v>
      </c>
      <c r="U91" s="21" t="s">
        <v>121</v>
      </c>
      <c r="V91" s="21" t="s">
        <v>121</v>
      </c>
      <c r="W91" s="20" t="s">
        <v>831</v>
      </c>
      <c r="X91" s="22" t="s">
        <v>832</v>
      </c>
      <c r="Y91" s="33">
        <v>1960</v>
      </c>
      <c r="Z91" s="9">
        <v>50</v>
      </c>
      <c r="AA91" s="9">
        <v>225</v>
      </c>
    </row>
    <row r="92" spans="1:27">
      <c r="A92" s="19" t="s">
        <v>822</v>
      </c>
      <c r="B92" s="16" t="s">
        <v>847</v>
      </c>
      <c r="C92" s="17" t="s">
        <v>847</v>
      </c>
      <c r="D92" s="21">
        <v>2420</v>
      </c>
      <c r="E92" s="9">
        <v>62</v>
      </c>
      <c r="F92" s="9">
        <v>280</v>
      </c>
      <c r="G92" s="18" t="s">
        <v>848</v>
      </c>
      <c r="H92" s="19" t="s">
        <v>825</v>
      </c>
      <c r="I92" s="20"/>
      <c r="J92" s="19" t="s">
        <v>849</v>
      </c>
      <c r="K92" s="19" t="s">
        <v>850</v>
      </c>
      <c r="L92" s="19" t="s">
        <v>851</v>
      </c>
      <c r="M92" s="19" t="s">
        <v>852</v>
      </c>
      <c r="N92" s="19"/>
      <c r="O92" s="19"/>
      <c r="P92" s="18" t="s">
        <v>684</v>
      </c>
      <c r="Q92" s="18" t="s">
        <v>685</v>
      </c>
      <c r="R92" s="18" t="s">
        <v>686</v>
      </c>
      <c r="S92" s="20" t="s">
        <v>121</v>
      </c>
      <c r="T92" s="21" t="s">
        <v>121</v>
      </c>
      <c r="U92" s="21" t="s">
        <v>121</v>
      </c>
      <c r="V92" s="21" t="s">
        <v>121</v>
      </c>
      <c r="W92" s="20" t="s">
        <v>831</v>
      </c>
      <c r="X92" s="22" t="s">
        <v>832</v>
      </c>
      <c r="Y92" s="33">
        <v>2420</v>
      </c>
      <c r="Z92" s="9">
        <v>62</v>
      </c>
      <c r="AA92" s="9">
        <v>280</v>
      </c>
    </row>
    <row r="93" spans="1:27">
      <c r="A93" s="19" t="s">
        <v>822</v>
      </c>
      <c r="B93" s="16" t="s">
        <v>853</v>
      </c>
      <c r="C93" s="17" t="s">
        <v>853</v>
      </c>
      <c r="D93" s="21">
        <v>3450</v>
      </c>
      <c r="E93" s="9">
        <v>88</v>
      </c>
      <c r="F93" s="9">
        <v>400</v>
      </c>
      <c r="G93" s="18" t="s">
        <v>854</v>
      </c>
      <c r="H93" s="19" t="s">
        <v>825</v>
      </c>
      <c r="I93" s="20"/>
      <c r="J93" s="19" t="s">
        <v>855</v>
      </c>
      <c r="K93" s="19" t="s">
        <v>856</v>
      </c>
      <c r="L93" s="19" t="s">
        <v>857</v>
      </c>
      <c r="M93" s="19" t="s">
        <v>858</v>
      </c>
      <c r="N93" s="19"/>
      <c r="O93" s="19" t="s">
        <v>859</v>
      </c>
      <c r="P93" s="18" t="s">
        <v>684</v>
      </c>
      <c r="Q93" s="18" t="s">
        <v>685</v>
      </c>
      <c r="R93" s="18" t="s">
        <v>686</v>
      </c>
      <c r="S93" s="20" t="s">
        <v>121</v>
      </c>
      <c r="T93" s="21" t="s">
        <v>121</v>
      </c>
      <c r="U93" s="21" t="s">
        <v>121</v>
      </c>
      <c r="V93" s="21" t="s">
        <v>121</v>
      </c>
      <c r="W93" s="20" t="s">
        <v>831</v>
      </c>
      <c r="X93" s="22" t="s">
        <v>832</v>
      </c>
      <c r="Y93" s="33">
        <v>3450</v>
      </c>
      <c r="Z93" s="9">
        <v>88</v>
      </c>
      <c r="AA93" s="9">
        <v>400</v>
      </c>
    </row>
    <row r="94" spans="1:27">
      <c r="A94" s="19" t="s">
        <v>860</v>
      </c>
      <c r="B94" s="16" t="s">
        <v>861</v>
      </c>
      <c r="C94" s="17" t="s">
        <v>862</v>
      </c>
      <c r="D94" s="9">
        <v>470</v>
      </c>
      <c r="E94" s="9">
        <v>12</v>
      </c>
      <c r="F94" s="9">
        <v>65</v>
      </c>
      <c r="G94" s="18" t="s">
        <v>863</v>
      </c>
      <c r="H94" s="19" t="s">
        <v>864</v>
      </c>
      <c r="I94" s="20"/>
      <c r="J94" s="19" t="s">
        <v>865</v>
      </c>
      <c r="K94" s="19" t="s">
        <v>866</v>
      </c>
      <c r="L94" s="19" t="s">
        <v>867</v>
      </c>
      <c r="M94" s="19" t="s">
        <v>868</v>
      </c>
      <c r="N94" s="19"/>
      <c r="O94" s="19" t="s">
        <v>869</v>
      </c>
      <c r="P94" s="18" t="s">
        <v>684</v>
      </c>
      <c r="Q94" s="18" t="s">
        <v>685</v>
      </c>
      <c r="R94" s="18" t="s">
        <v>686</v>
      </c>
      <c r="S94" s="20" t="s">
        <v>121</v>
      </c>
      <c r="T94" s="21" t="s">
        <v>121</v>
      </c>
      <c r="U94" s="21" t="s">
        <v>121</v>
      </c>
      <c r="V94" s="21" t="s">
        <v>121</v>
      </c>
      <c r="W94" s="20" t="s">
        <v>870</v>
      </c>
      <c r="X94" s="22" t="s">
        <v>871</v>
      </c>
      <c r="Y94" s="23">
        <v>470</v>
      </c>
      <c r="Z94" s="9">
        <v>12</v>
      </c>
      <c r="AA94" s="9">
        <v>65</v>
      </c>
    </row>
    <row r="95" spans="1:27">
      <c r="A95" s="19" t="s">
        <v>860</v>
      </c>
      <c r="B95" s="16" t="s">
        <v>872</v>
      </c>
      <c r="C95" s="17" t="s">
        <v>873</v>
      </c>
      <c r="D95" s="9">
        <v>470</v>
      </c>
      <c r="E95" s="9">
        <v>12</v>
      </c>
      <c r="F95" s="9">
        <v>65</v>
      </c>
      <c r="G95" s="18" t="s">
        <v>874</v>
      </c>
      <c r="H95" s="19" t="s">
        <v>864</v>
      </c>
      <c r="I95" s="20"/>
      <c r="J95" s="19" t="s">
        <v>875</v>
      </c>
      <c r="K95" s="19" t="s">
        <v>876</v>
      </c>
      <c r="L95" s="19" t="s">
        <v>877</v>
      </c>
      <c r="M95" s="19" t="s">
        <v>868</v>
      </c>
      <c r="N95" s="19"/>
      <c r="O95" s="19" t="s">
        <v>869</v>
      </c>
      <c r="P95" s="18" t="s">
        <v>684</v>
      </c>
      <c r="Q95" s="18" t="s">
        <v>685</v>
      </c>
      <c r="R95" s="18" t="s">
        <v>686</v>
      </c>
      <c r="S95" s="20" t="s">
        <v>121</v>
      </c>
      <c r="T95" s="21" t="s">
        <v>121</v>
      </c>
      <c r="U95" s="21" t="s">
        <v>121</v>
      </c>
      <c r="V95" s="21" t="s">
        <v>121</v>
      </c>
      <c r="W95" s="20" t="s">
        <v>870</v>
      </c>
      <c r="X95" s="22" t="s">
        <v>871</v>
      </c>
      <c r="Y95" s="23">
        <v>470</v>
      </c>
      <c r="Z95" s="9">
        <v>12</v>
      </c>
      <c r="AA95" s="9">
        <v>65</v>
      </c>
    </row>
    <row r="96" spans="1:27">
      <c r="A96" s="19" t="s">
        <v>860</v>
      </c>
      <c r="B96" s="16" t="s">
        <v>878</v>
      </c>
      <c r="C96" s="17" t="s">
        <v>878</v>
      </c>
      <c r="D96" s="9">
        <v>620</v>
      </c>
      <c r="E96" s="9">
        <v>16</v>
      </c>
      <c r="F96" s="9">
        <v>75</v>
      </c>
      <c r="G96" s="18" t="s">
        <v>879</v>
      </c>
      <c r="H96" s="19" t="s">
        <v>864</v>
      </c>
      <c r="I96" s="20"/>
      <c r="J96" s="19" t="s">
        <v>880</v>
      </c>
      <c r="K96" s="19" t="s">
        <v>881</v>
      </c>
      <c r="L96" s="19" t="s">
        <v>882</v>
      </c>
      <c r="M96" s="19" t="s">
        <v>883</v>
      </c>
      <c r="N96" s="19"/>
      <c r="O96" s="19" t="s">
        <v>884</v>
      </c>
      <c r="P96" s="18" t="s">
        <v>684</v>
      </c>
      <c r="Q96" s="18" t="s">
        <v>685</v>
      </c>
      <c r="R96" s="18" t="s">
        <v>686</v>
      </c>
      <c r="S96" s="20" t="s">
        <v>121</v>
      </c>
      <c r="T96" s="21" t="s">
        <v>121</v>
      </c>
      <c r="U96" s="21" t="s">
        <v>121</v>
      </c>
      <c r="V96" s="21" t="s">
        <v>121</v>
      </c>
      <c r="W96" s="20" t="s">
        <v>870</v>
      </c>
      <c r="X96" s="22" t="s">
        <v>871</v>
      </c>
      <c r="Y96" s="23">
        <v>620</v>
      </c>
      <c r="Z96" s="9">
        <v>16</v>
      </c>
      <c r="AA96" s="9">
        <v>75</v>
      </c>
    </row>
    <row r="97" spans="1:27">
      <c r="A97" s="19" t="s">
        <v>860</v>
      </c>
      <c r="B97" s="16" t="s">
        <v>885</v>
      </c>
      <c r="C97" s="17" t="s">
        <v>886</v>
      </c>
      <c r="D97" s="9">
        <v>540</v>
      </c>
      <c r="E97" s="9">
        <v>14</v>
      </c>
      <c r="F97" s="9">
        <v>65</v>
      </c>
      <c r="G97" s="18" t="s">
        <v>887</v>
      </c>
      <c r="H97" s="19" t="s">
        <v>864</v>
      </c>
      <c r="I97" s="20"/>
      <c r="J97" s="19" t="s">
        <v>888</v>
      </c>
      <c r="K97" s="19" t="s">
        <v>889</v>
      </c>
      <c r="L97" s="19" t="s">
        <v>890</v>
      </c>
      <c r="M97" s="19" t="s">
        <v>891</v>
      </c>
      <c r="N97" s="19"/>
      <c r="O97" s="19" t="s">
        <v>892</v>
      </c>
      <c r="P97" s="18" t="s">
        <v>38</v>
      </c>
      <c r="Q97" s="18" t="s">
        <v>38</v>
      </c>
      <c r="R97" s="18" t="s">
        <v>38</v>
      </c>
      <c r="S97" s="20">
        <v>1</v>
      </c>
      <c r="T97" s="21" t="s">
        <v>121</v>
      </c>
      <c r="U97" s="21" t="s">
        <v>121</v>
      </c>
      <c r="V97" s="21" t="s">
        <v>121</v>
      </c>
      <c r="W97" s="20" t="s">
        <v>870</v>
      </c>
      <c r="X97" s="22" t="s">
        <v>871</v>
      </c>
      <c r="Y97" s="23">
        <v>540</v>
      </c>
      <c r="Z97" s="9">
        <v>14</v>
      </c>
      <c r="AA97" s="9">
        <v>65</v>
      </c>
    </row>
    <row r="98" spans="1:27">
      <c r="A98" s="19" t="s">
        <v>860</v>
      </c>
      <c r="B98" s="16" t="s">
        <v>893</v>
      </c>
      <c r="C98" s="17" t="s">
        <v>894</v>
      </c>
      <c r="D98" s="9">
        <v>540</v>
      </c>
      <c r="E98" s="9">
        <v>14</v>
      </c>
      <c r="F98" s="9">
        <v>65</v>
      </c>
      <c r="G98" s="18" t="s">
        <v>895</v>
      </c>
      <c r="H98" s="19" t="s">
        <v>864</v>
      </c>
      <c r="I98" s="20"/>
      <c r="J98" s="19" t="s">
        <v>896</v>
      </c>
      <c r="K98" s="19" t="s">
        <v>897</v>
      </c>
      <c r="L98" s="19" t="s">
        <v>898</v>
      </c>
      <c r="M98" s="19" t="s">
        <v>891</v>
      </c>
      <c r="N98" s="19"/>
      <c r="O98" s="19" t="s">
        <v>892</v>
      </c>
      <c r="P98" s="18" t="s">
        <v>38</v>
      </c>
      <c r="Q98" s="18" t="s">
        <v>38</v>
      </c>
      <c r="R98" s="18" t="s">
        <v>38</v>
      </c>
      <c r="S98" s="20">
        <v>1</v>
      </c>
      <c r="T98" s="21" t="s">
        <v>121</v>
      </c>
      <c r="U98" s="21" t="s">
        <v>121</v>
      </c>
      <c r="V98" s="21" t="s">
        <v>121</v>
      </c>
      <c r="W98" s="20" t="s">
        <v>870</v>
      </c>
      <c r="X98" s="22" t="s">
        <v>871</v>
      </c>
      <c r="Y98" s="23">
        <v>540</v>
      </c>
      <c r="Z98" s="9">
        <v>14</v>
      </c>
      <c r="AA98" s="9">
        <v>65</v>
      </c>
    </row>
    <row r="99" spans="1:27">
      <c r="A99" s="19" t="s">
        <v>860</v>
      </c>
      <c r="B99" s="16" t="s">
        <v>899</v>
      </c>
      <c r="C99" s="17" t="s">
        <v>900</v>
      </c>
      <c r="D99" s="9">
        <v>990</v>
      </c>
      <c r="E99" s="9">
        <v>25</v>
      </c>
      <c r="F99" s="9">
        <v>120</v>
      </c>
      <c r="G99" s="18" t="s">
        <v>901</v>
      </c>
      <c r="H99" s="19" t="s">
        <v>864</v>
      </c>
      <c r="I99" s="20"/>
      <c r="J99" s="19" t="s">
        <v>902</v>
      </c>
      <c r="K99" s="19" t="s">
        <v>903</v>
      </c>
      <c r="L99" s="19" t="s">
        <v>904</v>
      </c>
      <c r="M99" s="19" t="s">
        <v>905</v>
      </c>
      <c r="N99" s="19"/>
      <c r="O99" s="19" t="s">
        <v>906</v>
      </c>
      <c r="P99" s="18" t="s">
        <v>38</v>
      </c>
      <c r="Q99" s="18" t="s">
        <v>38</v>
      </c>
      <c r="R99" s="18" t="s">
        <v>38</v>
      </c>
      <c r="S99" s="20">
        <v>2</v>
      </c>
      <c r="T99" s="21" t="s">
        <v>121</v>
      </c>
      <c r="U99" s="21" t="s">
        <v>121</v>
      </c>
      <c r="V99" s="21" t="s">
        <v>121</v>
      </c>
      <c r="W99" s="20" t="s">
        <v>870</v>
      </c>
      <c r="X99" s="22" t="s">
        <v>871</v>
      </c>
      <c r="Y99" s="23">
        <v>990</v>
      </c>
      <c r="Z99" s="9">
        <v>25</v>
      </c>
      <c r="AA99" s="9">
        <v>120</v>
      </c>
    </row>
    <row r="100" spans="1:27">
      <c r="A100" s="19" t="s">
        <v>860</v>
      </c>
      <c r="B100" s="16" t="s">
        <v>907</v>
      </c>
      <c r="C100" s="17" t="s">
        <v>908</v>
      </c>
      <c r="D100" s="9">
        <v>1190</v>
      </c>
      <c r="E100" s="9">
        <v>31</v>
      </c>
      <c r="F100" s="9">
        <v>140</v>
      </c>
      <c r="G100" s="18" t="s">
        <v>909</v>
      </c>
      <c r="H100" s="19" t="s">
        <v>864</v>
      </c>
      <c r="I100" s="20"/>
      <c r="J100" s="19" t="s">
        <v>910</v>
      </c>
      <c r="K100" s="19" t="s">
        <v>911</v>
      </c>
      <c r="L100" s="19" t="s">
        <v>912</v>
      </c>
      <c r="M100" s="19" t="s">
        <v>913</v>
      </c>
      <c r="N100" s="19"/>
      <c r="O100" s="19" t="s">
        <v>914</v>
      </c>
      <c r="P100" s="18" t="s">
        <v>38</v>
      </c>
      <c r="Q100" s="18" t="s">
        <v>38</v>
      </c>
      <c r="R100" s="18" t="s">
        <v>38</v>
      </c>
      <c r="S100" s="20">
        <v>3</v>
      </c>
      <c r="T100" s="21" t="s">
        <v>121</v>
      </c>
      <c r="U100" s="21" t="s">
        <v>121</v>
      </c>
      <c r="V100" s="21" t="s">
        <v>121</v>
      </c>
      <c r="W100" s="20" t="s">
        <v>870</v>
      </c>
      <c r="X100" s="22" t="s">
        <v>871</v>
      </c>
      <c r="Y100" s="23">
        <v>1190</v>
      </c>
      <c r="Z100" s="9">
        <v>31</v>
      </c>
      <c r="AA100" s="9">
        <v>140</v>
      </c>
    </row>
    <row r="101" spans="1:27">
      <c r="A101" s="19" t="s">
        <v>860</v>
      </c>
      <c r="B101" s="16" t="s">
        <v>915</v>
      </c>
      <c r="C101" s="17" t="s">
        <v>916</v>
      </c>
      <c r="D101" s="9">
        <v>1190</v>
      </c>
      <c r="E101" s="9">
        <v>31</v>
      </c>
      <c r="F101" s="9">
        <v>140</v>
      </c>
      <c r="G101" s="18" t="s">
        <v>917</v>
      </c>
      <c r="H101" s="19" t="s">
        <v>864</v>
      </c>
      <c r="I101" s="20"/>
      <c r="J101" s="19" t="s">
        <v>918</v>
      </c>
      <c r="K101" s="19" t="s">
        <v>919</v>
      </c>
      <c r="L101" s="19" t="s">
        <v>920</v>
      </c>
      <c r="M101" s="19" t="s">
        <v>913</v>
      </c>
      <c r="N101" s="19"/>
      <c r="O101" s="19" t="s">
        <v>914</v>
      </c>
      <c r="P101" s="18" t="s">
        <v>38</v>
      </c>
      <c r="Q101" s="18" t="s">
        <v>38</v>
      </c>
      <c r="R101" s="18" t="s">
        <v>38</v>
      </c>
      <c r="S101" s="20">
        <v>3</v>
      </c>
      <c r="T101" s="21" t="s">
        <v>121</v>
      </c>
      <c r="U101" s="21" t="s">
        <v>121</v>
      </c>
      <c r="V101" s="21" t="s">
        <v>121</v>
      </c>
      <c r="W101" s="20" t="s">
        <v>870</v>
      </c>
      <c r="X101" s="22" t="s">
        <v>871</v>
      </c>
      <c r="Y101" s="23">
        <v>1190</v>
      </c>
      <c r="Z101" s="9">
        <v>31</v>
      </c>
      <c r="AA101" s="9">
        <v>140</v>
      </c>
    </row>
    <row r="102" spans="1:27">
      <c r="A102" s="19" t="s">
        <v>860</v>
      </c>
      <c r="B102" s="16" t="s">
        <v>921</v>
      </c>
      <c r="C102" s="17" t="s">
        <v>922</v>
      </c>
      <c r="D102" s="9">
        <v>1190</v>
      </c>
      <c r="E102" s="9">
        <v>31</v>
      </c>
      <c r="F102" s="9">
        <v>140</v>
      </c>
      <c r="G102" s="18" t="s">
        <v>923</v>
      </c>
      <c r="H102" s="19" t="s">
        <v>864</v>
      </c>
      <c r="I102" s="20"/>
      <c r="J102" s="19" t="s">
        <v>924</v>
      </c>
      <c r="K102" s="19" t="s">
        <v>925</v>
      </c>
      <c r="L102" s="19" t="s">
        <v>926</v>
      </c>
      <c r="M102" s="19" t="s">
        <v>913</v>
      </c>
      <c r="N102" s="19"/>
      <c r="O102" s="19" t="s">
        <v>914</v>
      </c>
      <c r="P102" s="18" t="s">
        <v>38</v>
      </c>
      <c r="Q102" s="18" t="s">
        <v>38</v>
      </c>
      <c r="R102" s="18" t="s">
        <v>38</v>
      </c>
      <c r="S102" s="20">
        <v>3</v>
      </c>
      <c r="T102" s="21" t="s">
        <v>121</v>
      </c>
      <c r="U102" s="21" t="s">
        <v>121</v>
      </c>
      <c r="V102" s="21" t="s">
        <v>121</v>
      </c>
      <c r="W102" s="20" t="s">
        <v>870</v>
      </c>
      <c r="X102" s="22" t="s">
        <v>871</v>
      </c>
      <c r="Y102" s="23">
        <v>1190</v>
      </c>
      <c r="Z102" s="9">
        <v>31</v>
      </c>
      <c r="AA102" s="9">
        <v>140</v>
      </c>
    </row>
    <row r="103" spans="1:27">
      <c r="A103" s="19" t="s">
        <v>860</v>
      </c>
      <c r="B103" s="16" t="s">
        <v>927</v>
      </c>
      <c r="C103" s="17" t="s">
        <v>928</v>
      </c>
      <c r="D103" s="9">
        <v>1600</v>
      </c>
      <c r="E103" s="9">
        <v>41</v>
      </c>
      <c r="F103" s="9">
        <v>190</v>
      </c>
      <c r="G103" s="18" t="s">
        <v>929</v>
      </c>
      <c r="H103" s="19" t="s">
        <v>864</v>
      </c>
      <c r="I103" s="20"/>
      <c r="J103" s="19" t="s">
        <v>930</v>
      </c>
      <c r="K103" s="19" t="s">
        <v>931</v>
      </c>
      <c r="L103" s="19" t="s">
        <v>932</v>
      </c>
      <c r="M103" s="19" t="s">
        <v>933</v>
      </c>
      <c r="N103" s="19"/>
      <c r="O103" s="19" t="s">
        <v>934</v>
      </c>
      <c r="P103" s="18" t="s">
        <v>38</v>
      </c>
      <c r="Q103" s="18" t="s">
        <v>38</v>
      </c>
      <c r="R103" s="18" t="s">
        <v>38</v>
      </c>
      <c r="S103" s="20">
        <v>4</v>
      </c>
      <c r="T103" s="21" t="s">
        <v>121</v>
      </c>
      <c r="U103" s="21" t="s">
        <v>121</v>
      </c>
      <c r="V103" s="21" t="s">
        <v>121</v>
      </c>
      <c r="W103" s="20" t="s">
        <v>870</v>
      </c>
      <c r="X103" s="22" t="s">
        <v>871</v>
      </c>
      <c r="Y103" s="23">
        <v>1600</v>
      </c>
      <c r="Z103" s="9">
        <v>41</v>
      </c>
      <c r="AA103" s="9">
        <v>190</v>
      </c>
    </row>
    <row r="104" spans="1:27">
      <c r="A104" s="19" t="s">
        <v>860</v>
      </c>
      <c r="B104" s="16" t="s">
        <v>935</v>
      </c>
      <c r="C104" s="17" t="s">
        <v>936</v>
      </c>
      <c r="D104" s="9">
        <v>1600</v>
      </c>
      <c r="E104" s="9">
        <v>41</v>
      </c>
      <c r="F104" s="9">
        <v>190</v>
      </c>
      <c r="G104" s="18" t="s">
        <v>937</v>
      </c>
      <c r="H104" s="19" t="s">
        <v>864</v>
      </c>
      <c r="I104" s="20"/>
      <c r="J104" s="19" t="s">
        <v>938</v>
      </c>
      <c r="K104" s="19" t="s">
        <v>939</v>
      </c>
      <c r="L104" s="19" t="s">
        <v>940</v>
      </c>
      <c r="M104" s="19" t="s">
        <v>933</v>
      </c>
      <c r="N104" s="19"/>
      <c r="O104" s="19" t="s">
        <v>934</v>
      </c>
      <c r="P104" s="18" t="s">
        <v>38</v>
      </c>
      <c r="Q104" s="18" t="s">
        <v>38</v>
      </c>
      <c r="R104" s="18" t="s">
        <v>38</v>
      </c>
      <c r="S104" s="20">
        <v>4</v>
      </c>
      <c r="T104" s="21" t="s">
        <v>121</v>
      </c>
      <c r="U104" s="21" t="s">
        <v>121</v>
      </c>
      <c r="V104" s="21" t="s">
        <v>121</v>
      </c>
      <c r="W104" s="20" t="s">
        <v>870</v>
      </c>
      <c r="X104" s="22" t="s">
        <v>871</v>
      </c>
      <c r="Y104" s="23">
        <v>1600</v>
      </c>
      <c r="Z104" s="9">
        <v>41</v>
      </c>
      <c r="AA104" s="9">
        <v>190</v>
      </c>
    </row>
    <row r="105" spans="1:27">
      <c r="A105" s="19" t="s">
        <v>860</v>
      </c>
      <c r="B105" s="16" t="s">
        <v>941</v>
      </c>
      <c r="C105" s="17" t="s">
        <v>942</v>
      </c>
      <c r="D105" s="9">
        <v>1600</v>
      </c>
      <c r="E105" s="9">
        <v>41</v>
      </c>
      <c r="F105" s="9">
        <v>190</v>
      </c>
      <c r="G105" s="18" t="s">
        <v>943</v>
      </c>
      <c r="H105" s="19" t="s">
        <v>864</v>
      </c>
      <c r="I105" s="20"/>
      <c r="J105" s="19" t="s">
        <v>944</v>
      </c>
      <c r="K105" s="19" t="s">
        <v>945</v>
      </c>
      <c r="L105" s="19" t="s">
        <v>946</v>
      </c>
      <c r="M105" s="19" t="s">
        <v>933</v>
      </c>
      <c r="N105" s="19"/>
      <c r="O105" s="19" t="s">
        <v>934</v>
      </c>
      <c r="P105" s="18" t="s">
        <v>38</v>
      </c>
      <c r="Q105" s="18" t="s">
        <v>38</v>
      </c>
      <c r="R105" s="18" t="s">
        <v>38</v>
      </c>
      <c r="S105" s="20">
        <v>4</v>
      </c>
      <c r="T105" s="21" t="s">
        <v>121</v>
      </c>
      <c r="U105" s="21" t="s">
        <v>121</v>
      </c>
      <c r="V105" s="21" t="s">
        <v>121</v>
      </c>
      <c r="W105" s="20" t="s">
        <v>870</v>
      </c>
      <c r="X105" s="22" t="s">
        <v>871</v>
      </c>
      <c r="Y105" s="23">
        <v>1600</v>
      </c>
      <c r="Z105" s="9">
        <v>41</v>
      </c>
      <c r="AA105" s="9">
        <v>190</v>
      </c>
    </row>
    <row r="106" spans="1:27">
      <c r="A106" s="17" t="s">
        <v>947</v>
      </c>
      <c r="B106" s="16" t="s">
        <v>948</v>
      </c>
      <c r="C106" s="17" t="s">
        <v>949</v>
      </c>
      <c r="D106" s="21" t="s">
        <v>142</v>
      </c>
      <c r="E106" s="21" t="s">
        <v>143</v>
      </c>
      <c r="F106" s="21" t="s">
        <v>143</v>
      </c>
      <c r="G106" s="18" t="s">
        <v>950</v>
      </c>
      <c r="H106" s="19" t="s">
        <v>31</v>
      </c>
      <c r="I106" s="20" t="s">
        <v>121</v>
      </c>
      <c r="J106" s="17" t="s">
        <v>951</v>
      </c>
      <c r="K106" s="17" t="s">
        <v>952</v>
      </c>
      <c r="L106" s="17" t="s">
        <v>953</v>
      </c>
      <c r="M106" s="17" t="s">
        <v>954</v>
      </c>
      <c r="N106" s="17" t="s">
        <v>955</v>
      </c>
      <c r="O106" s="17" t="s">
        <v>956</v>
      </c>
      <c r="P106" s="18" t="s">
        <v>530</v>
      </c>
      <c r="Q106" s="18" t="s">
        <v>531</v>
      </c>
      <c r="R106" s="18" t="s">
        <v>532</v>
      </c>
      <c r="S106" s="20" t="s">
        <v>121</v>
      </c>
      <c r="T106" s="21" t="s">
        <v>137</v>
      </c>
      <c r="U106" s="21" t="s">
        <v>137</v>
      </c>
      <c r="V106" s="21" t="s">
        <v>137</v>
      </c>
      <c r="W106" s="20" t="s">
        <v>957</v>
      </c>
      <c r="X106" s="22" t="s">
        <v>958</v>
      </c>
      <c r="Y106" s="33" t="s">
        <v>142</v>
      </c>
      <c r="Z106" s="21" t="s">
        <v>143</v>
      </c>
      <c r="AA106" s="21" t="s">
        <v>143</v>
      </c>
    </row>
    <row r="107" spans="1:27">
      <c r="A107" s="17" t="s">
        <v>947</v>
      </c>
      <c r="B107" s="16" t="s">
        <v>959</v>
      </c>
      <c r="C107" s="17" t="s">
        <v>960</v>
      </c>
      <c r="D107" s="9">
        <v>890</v>
      </c>
      <c r="E107" s="9">
        <v>23</v>
      </c>
      <c r="F107" s="9">
        <v>105</v>
      </c>
      <c r="G107" s="18" t="s">
        <v>961</v>
      </c>
      <c r="H107" s="19" t="s">
        <v>31</v>
      </c>
      <c r="I107" s="20">
        <v>4820122950016</v>
      </c>
      <c r="J107" s="17" t="s">
        <v>962</v>
      </c>
      <c r="K107" s="17" t="s">
        <v>963</v>
      </c>
      <c r="L107" s="17" t="s">
        <v>964</v>
      </c>
      <c r="M107" s="17" t="s">
        <v>965</v>
      </c>
      <c r="N107" s="17" t="s">
        <v>966</v>
      </c>
      <c r="O107" s="17" t="s">
        <v>967</v>
      </c>
      <c r="P107" s="18" t="s">
        <v>530</v>
      </c>
      <c r="Q107" s="18" t="s">
        <v>531</v>
      </c>
      <c r="R107" s="18" t="s">
        <v>532</v>
      </c>
      <c r="S107" s="20" t="s">
        <v>121</v>
      </c>
      <c r="T107" s="21" t="s">
        <v>137</v>
      </c>
      <c r="U107" s="21" t="s">
        <v>137</v>
      </c>
      <c r="V107" s="21" t="s">
        <v>137</v>
      </c>
      <c r="W107" s="20" t="s">
        <v>957</v>
      </c>
      <c r="X107" s="22" t="s">
        <v>958</v>
      </c>
      <c r="Y107" s="23">
        <v>890</v>
      </c>
      <c r="Z107" s="9">
        <v>23</v>
      </c>
      <c r="AA107" s="9">
        <v>105</v>
      </c>
    </row>
    <row r="108" spans="1:27">
      <c r="A108" s="17" t="s">
        <v>947</v>
      </c>
      <c r="B108" s="16" t="s">
        <v>968</v>
      </c>
      <c r="C108" s="17" t="s">
        <v>969</v>
      </c>
      <c r="D108" s="9">
        <v>745</v>
      </c>
      <c r="E108" s="9">
        <v>19</v>
      </c>
      <c r="F108" s="9">
        <v>85</v>
      </c>
      <c r="G108" s="18" t="s">
        <v>970</v>
      </c>
      <c r="H108" s="19" t="s">
        <v>31</v>
      </c>
      <c r="I108" s="20">
        <v>4820122950207</v>
      </c>
      <c r="J108" s="17" t="s">
        <v>971</v>
      </c>
      <c r="K108" s="17" t="s">
        <v>972</v>
      </c>
      <c r="L108" s="17" t="s">
        <v>973</v>
      </c>
      <c r="M108" s="17" t="s">
        <v>974</v>
      </c>
      <c r="N108" s="17" t="s">
        <v>966</v>
      </c>
      <c r="O108" s="17"/>
      <c r="P108" s="18" t="s">
        <v>530</v>
      </c>
      <c r="Q108" s="18" t="s">
        <v>531</v>
      </c>
      <c r="R108" s="18" t="s">
        <v>532</v>
      </c>
      <c r="S108" s="20" t="s">
        <v>121</v>
      </c>
      <c r="T108" s="21" t="s">
        <v>137</v>
      </c>
      <c r="U108" s="21" t="s">
        <v>137</v>
      </c>
      <c r="V108" s="21" t="s">
        <v>137</v>
      </c>
      <c r="W108" s="20" t="s">
        <v>957</v>
      </c>
      <c r="X108" s="22" t="s">
        <v>958</v>
      </c>
      <c r="Y108" s="23">
        <v>745</v>
      </c>
      <c r="Z108" s="9">
        <v>19</v>
      </c>
      <c r="AA108" s="9">
        <v>85</v>
      </c>
    </row>
    <row r="109" spans="1:27">
      <c r="A109" s="17" t="s">
        <v>947</v>
      </c>
      <c r="B109" s="16" t="s">
        <v>975</v>
      </c>
      <c r="C109" s="17" t="s">
        <v>976</v>
      </c>
      <c r="D109" s="9">
        <v>650</v>
      </c>
      <c r="E109" s="9">
        <v>17</v>
      </c>
      <c r="F109" s="9">
        <v>75</v>
      </c>
      <c r="G109" s="18" t="s">
        <v>977</v>
      </c>
      <c r="H109" s="19" t="s">
        <v>31</v>
      </c>
      <c r="I109" s="20">
        <v>4820122950047</v>
      </c>
      <c r="J109" s="17" t="s">
        <v>978</v>
      </c>
      <c r="K109" s="17" t="s">
        <v>979</v>
      </c>
      <c r="L109" s="17" t="s">
        <v>980</v>
      </c>
      <c r="M109" s="17" t="s">
        <v>981</v>
      </c>
      <c r="N109" s="17" t="s">
        <v>982</v>
      </c>
      <c r="O109" s="17" t="s">
        <v>983</v>
      </c>
      <c r="P109" s="18" t="s">
        <v>530</v>
      </c>
      <c r="Q109" s="18" t="s">
        <v>531</v>
      </c>
      <c r="R109" s="18" t="s">
        <v>532</v>
      </c>
      <c r="S109" s="20" t="s">
        <v>121</v>
      </c>
      <c r="T109" s="21" t="s">
        <v>137</v>
      </c>
      <c r="U109" s="21" t="s">
        <v>137</v>
      </c>
      <c r="V109" s="21" t="s">
        <v>137</v>
      </c>
      <c r="W109" s="20" t="s">
        <v>957</v>
      </c>
      <c r="X109" s="22" t="s">
        <v>958</v>
      </c>
      <c r="Y109" s="23">
        <v>650</v>
      </c>
      <c r="Z109" s="9">
        <v>17</v>
      </c>
      <c r="AA109" s="9">
        <v>75</v>
      </c>
    </row>
    <row r="110" spans="1:27">
      <c r="A110" s="17" t="s">
        <v>947</v>
      </c>
      <c r="B110" s="16" t="s">
        <v>984</v>
      </c>
      <c r="C110" s="17" t="s">
        <v>984</v>
      </c>
      <c r="D110" s="9">
        <v>650</v>
      </c>
      <c r="E110" s="9">
        <v>17</v>
      </c>
      <c r="F110" s="9">
        <v>80</v>
      </c>
      <c r="G110" s="18" t="s">
        <v>985</v>
      </c>
      <c r="H110" s="19" t="s">
        <v>31</v>
      </c>
      <c r="I110" s="20">
        <v>4820122950177</v>
      </c>
      <c r="J110" s="17" t="s">
        <v>978</v>
      </c>
      <c r="K110" s="17" t="s">
        <v>979</v>
      </c>
      <c r="L110" s="17" t="s">
        <v>980</v>
      </c>
      <c r="M110" s="17" t="s">
        <v>986</v>
      </c>
      <c r="N110" s="17" t="s">
        <v>987</v>
      </c>
      <c r="O110" s="17"/>
      <c r="P110" s="18" t="s">
        <v>530</v>
      </c>
      <c r="Q110" s="18" t="s">
        <v>531</v>
      </c>
      <c r="R110" s="18" t="s">
        <v>532</v>
      </c>
      <c r="S110" s="20" t="s">
        <v>121</v>
      </c>
      <c r="T110" s="21" t="s">
        <v>137</v>
      </c>
      <c r="U110" s="21" t="s">
        <v>137</v>
      </c>
      <c r="V110" s="21" t="s">
        <v>137</v>
      </c>
      <c r="W110" s="20" t="s">
        <v>957</v>
      </c>
      <c r="X110" s="22" t="s">
        <v>958</v>
      </c>
      <c r="Y110" s="23">
        <v>650</v>
      </c>
      <c r="Z110" s="9">
        <v>17</v>
      </c>
      <c r="AA110" s="9">
        <v>80</v>
      </c>
    </row>
    <row r="111" spans="1:27">
      <c r="A111" s="17" t="s">
        <v>947</v>
      </c>
      <c r="B111" s="16" t="s">
        <v>988</v>
      </c>
      <c r="C111" s="17" t="s">
        <v>989</v>
      </c>
      <c r="D111" s="9">
        <v>600</v>
      </c>
      <c r="E111" s="9">
        <v>15</v>
      </c>
      <c r="F111" s="9">
        <v>70</v>
      </c>
      <c r="G111" s="18" t="s">
        <v>990</v>
      </c>
      <c r="H111" s="19" t="s">
        <v>31</v>
      </c>
      <c r="I111" s="20">
        <v>4820122950030</v>
      </c>
      <c r="J111" s="17" t="s">
        <v>991</v>
      </c>
      <c r="K111" s="17" t="s">
        <v>992</v>
      </c>
      <c r="L111" s="17" t="s">
        <v>993</v>
      </c>
      <c r="M111" s="17" t="s">
        <v>994</v>
      </c>
      <c r="N111" s="17" t="s">
        <v>995</v>
      </c>
      <c r="O111" s="17" t="s">
        <v>996</v>
      </c>
      <c r="P111" s="18" t="s">
        <v>530</v>
      </c>
      <c r="Q111" s="18" t="s">
        <v>531</v>
      </c>
      <c r="R111" s="18" t="s">
        <v>532</v>
      </c>
      <c r="S111" s="20" t="s">
        <v>121</v>
      </c>
      <c r="T111" s="21" t="s">
        <v>137</v>
      </c>
      <c r="U111" s="21" t="s">
        <v>137</v>
      </c>
      <c r="V111" s="21" t="s">
        <v>137</v>
      </c>
      <c r="W111" s="20" t="s">
        <v>957</v>
      </c>
      <c r="X111" s="22" t="s">
        <v>958</v>
      </c>
      <c r="Y111" s="23">
        <v>600</v>
      </c>
      <c r="Z111" s="9">
        <v>15</v>
      </c>
      <c r="AA111" s="9">
        <v>70</v>
      </c>
    </row>
    <row r="112" spans="1:27">
      <c r="A112" s="17" t="s">
        <v>947</v>
      </c>
      <c r="B112" s="16" t="s">
        <v>997</v>
      </c>
      <c r="C112" s="17" t="s">
        <v>998</v>
      </c>
      <c r="D112" s="9">
        <v>2530</v>
      </c>
      <c r="E112" s="9">
        <v>65</v>
      </c>
      <c r="F112" s="9">
        <v>295</v>
      </c>
      <c r="G112" s="18" t="s">
        <v>999</v>
      </c>
      <c r="H112" s="19" t="s">
        <v>31</v>
      </c>
      <c r="I112" s="20">
        <v>4820122950283</v>
      </c>
      <c r="J112" s="17" t="s">
        <v>1000</v>
      </c>
      <c r="K112" s="17" t="s">
        <v>1001</v>
      </c>
      <c r="L112" s="17" t="s">
        <v>1002</v>
      </c>
      <c r="M112" s="17" t="s">
        <v>1003</v>
      </c>
      <c r="N112" s="17"/>
      <c r="O112" s="17" t="s">
        <v>1004</v>
      </c>
      <c r="P112" s="18" t="s">
        <v>530</v>
      </c>
      <c r="Q112" s="18" t="s">
        <v>531</v>
      </c>
      <c r="R112" s="18" t="s">
        <v>532</v>
      </c>
      <c r="S112" s="20" t="s">
        <v>121</v>
      </c>
      <c r="T112" s="21" t="s">
        <v>137</v>
      </c>
      <c r="U112" s="21" t="s">
        <v>137</v>
      </c>
      <c r="V112" s="21" t="s">
        <v>137</v>
      </c>
      <c r="W112" s="20" t="s">
        <v>957</v>
      </c>
      <c r="X112" s="22" t="s">
        <v>958</v>
      </c>
      <c r="Y112" s="23">
        <v>2530</v>
      </c>
      <c r="Z112" s="9">
        <v>65</v>
      </c>
      <c r="AA112" s="9">
        <v>295</v>
      </c>
    </row>
    <row r="113" spans="1:27">
      <c r="A113" s="17" t="s">
        <v>947</v>
      </c>
      <c r="B113" s="16" t="s">
        <v>1005</v>
      </c>
      <c r="C113" s="17" t="s">
        <v>1006</v>
      </c>
      <c r="D113" s="9">
        <v>2575</v>
      </c>
      <c r="E113" s="9">
        <v>66</v>
      </c>
      <c r="F113" s="9">
        <v>300</v>
      </c>
      <c r="G113" s="28" t="s">
        <v>1007</v>
      </c>
      <c r="H113" s="19" t="s">
        <v>31</v>
      </c>
      <c r="I113" s="20">
        <v>4820122950290</v>
      </c>
      <c r="J113" s="17" t="s">
        <v>1008</v>
      </c>
      <c r="K113" s="17" t="s">
        <v>1009</v>
      </c>
      <c r="L113" s="17" t="s">
        <v>1010</v>
      </c>
      <c r="M113" s="17" t="s">
        <v>1011</v>
      </c>
      <c r="N113" s="17" t="s">
        <v>1012</v>
      </c>
      <c r="O113" s="17" t="s">
        <v>1013</v>
      </c>
      <c r="P113" s="18" t="s">
        <v>530</v>
      </c>
      <c r="Q113" s="18" t="s">
        <v>531</v>
      </c>
      <c r="R113" s="18" t="s">
        <v>532</v>
      </c>
      <c r="S113" s="20" t="s">
        <v>121</v>
      </c>
      <c r="T113" s="21" t="s">
        <v>137</v>
      </c>
      <c r="U113" s="21" t="s">
        <v>137</v>
      </c>
      <c r="V113" s="21" t="s">
        <v>137</v>
      </c>
      <c r="W113" s="20" t="s">
        <v>957</v>
      </c>
      <c r="X113" s="22" t="s">
        <v>958</v>
      </c>
      <c r="Y113" s="23">
        <v>2575</v>
      </c>
      <c r="Z113" s="9">
        <v>66</v>
      </c>
      <c r="AA113" s="9">
        <v>300</v>
      </c>
    </row>
    <row r="114" spans="1:27">
      <c r="A114" s="17" t="s">
        <v>947</v>
      </c>
      <c r="B114" s="16" t="s">
        <v>1014</v>
      </c>
      <c r="C114" s="17" t="s">
        <v>1015</v>
      </c>
      <c r="D114" s="9">
        <v>2575</v>
      </c>
      <c r="E114" s="9">
        <v>66</v>
      </c>
      <c r="F114" s="9">
        <v>300</v>
      </c>
      <c r="G114" s="18" t="s">
        <v>1016</v>
      </c>
      <c r="H114" s="19" t="s">
        <v>31</v>
      </c>
      <c r="I114" s="20">
        <v>4820122950306</v>
      </c>
      <c r="J114" s="17" t="s">
        <v>1017</v>
      </c>
      <c r="K114" s="17" t="s">
        <v>1018</v>
      </c>
      <c r="L114" s="17" t="s">
        <v>1019</v>
      </c>
      <c r="M114" s="17" t="s">
        <v>1011</v>
      </c>
      <c r="N114" s="17" t="s">
        <v>1012</v>
      </c>
      <c r="O114" s="17" t="s">
        <v>1013</v>
      </c>
      <c r="P114" s="18" t="s">
        <v>530</v>
      </c>
      <c r="Q114" s="18" t="s">
        <v>531</v>
      </c>
      <c r="R114" s="18" t="s">
        <v>532</v>
      </c>
      <c r="S114" s="20" t="s">
        <v>121</v>
      </c>
      <c r="T114" s="21" t="s">
        <v>137</v>
      </c>
      <c r="U114" s="21" t="s">
        <v>137</v>
      </c>
      <c r="V114" s="21" t="s">
        <v>137</v>
      </c>
      <c r="W114" s="20" t="s">
        <v>957</v>
      </c>
      <c r="X114" s="22" t="s">
        <v>958</v>
      </c>
      <c r="Y114" s="23">
        <v>2575</v>
      </c>
      <c r="Z114" s="9">
        <v>66</v>
      </c>
      <c r="AA114" s="9">
        <v>300</v>
      </c>
    </row>
    <row r="115" spans="1:27">
      <c r="A115" s="17" t="s">
        <v>1020</v>
      </c>
      <c r="B115" s="16" t="s">
        <v>1021</v>
      </c>
      <c r="C115" s="17" t="s">
        <v>1022</v>
      </c>
      <c r="D115" s="9">
        <v>1150</v>
      </c>
      <c r="E115" s="9">
        <v>29</v>
      </c>
      <c r="F115" s="9">
        <v>135</v>
      </c>
      <c r="G115" s="18" t="s">
        <v>1023</v>
      </c>
      <c r="H115" s="19" t="s">
        <v>31</v>
      </c>
      <c r="I115" s="20" t="s">
        <v>121</v>
      </c>
      <c r="J115" s="17" t="s">
        <v>1024</v>
      </c>
      <c r="K115" s="17" t="s">
        <v>1025</v>
      </c>
      <c r="L115" s="17" t="s">
        <v>1026</v>
      </c>
      <c r="M115" s="17" t="s">
        <v>1027</v>
      </c>
      <c r="N115" s="17" t="s">
        <v>1028</v>
      </c>
      <c r="O115" s="17" t="s">
        <v>1029</v>
      </c>
      <c r="P115" s="18" t="s">
        <v>401</v>
      </c>
      <c r="Q115" s="18" t="s">
        <v>402</v>
      </c>
      <c r="R115" s="18" t="s">
        <v>403</v>
      </c>
      <c r="S115" s="20" t="s">
        <v>121</v>
      </c>
      <c r="T115" s="21" t="s">
        <v>284</v>
      </c>
      <c r="U115" s="21" t="s">
        <v>284</v>
      </c>
      <c r="V115" s="21" t="s">
        <v>284</v>
      </c>
      <c r="W115" s="20" t="s">
        <v>1030</v>
      </c>
      <c r="X115" s="22" t="s">
        <v>1031</v>
      </c>
      <c r="Y115" s="36">
        <v>1150</v>
      </c>
      <c r="Z115" s="9">
        <v>29</v>
      </c>
      <c r="AA115" s="9">
        <v>135</v>
      </c>
    </row>
    <row r="116" spans="1:27">
      <c r="A116" s="17" t="s">
        <v>1020</v>
      </c>
      <c r="B116" s="16" t="s">
        <v>1032</v>
      </c>
      <c r="C116" s="17" t="s">
        <v>1033</v>
      </c>
      <c r="D116" s="9">
        <v>615</v>
      </c>
      <c r="E116" s="9">
        <v>16</v>
      </c>
      <c r="F116" s="9">
        <v>75</v>
      </c>
      <c r="G116" s="18" t="s">
        <v>1034</v>
      </c>
      <c r="H116" s="19" t="s">
        <v>31</v>
      </c>
      <c r="I116" s="20"/>
      <c r="J116" s="17" t="s">
        <v>1035</v>
      </c>
      <c r="K116" s="17" t="s">
        <v>1036</v>
      </c>
      <c r="L116" s="17" t="s">
        <v>1037</v>
      </c>
      <c r="M116" s="17" t="s">
        <v>1038</v>
      </c>
      <c r="N116" s="17" t="s">
        <v>1039</v>
      </c>
      <c r="O116" s="17"/>
      <c r="P116" s="18" t="s">
        <v>38</v>
      </c>
      <c r="Q116" s="18" t="s">
        <v>38</v>
      </c>
      <c r="R116" s="18" t="s">
        <v>38</v>
      </c>
      <c r="S116" s="20">
        <v>2</v>
      </c>
      <c r="T116" s="21" t="s">
        <v>121</v>
      </c>
      <c r="U116" s="21" t="s">
        <v>121</v>
      </c>
      <c r="V116" s="21" t="s">
        <v>121</v>
      </c>
      <c r="W116" s="20" t="s">
        <v>1030</v>
      </c>
      <c r="X116" s="22" t="s">
        <v>1031</v>
      </c>
      <c r="Y116" s="36">
        <v>615</v>
      </c>
      <c r="Z116" s="9">
        <v>16</v>
      </c>
      <c r="AA116" s="9">
        <v>75</v>
      </c>
    </row>
    <row r="117" spans="1:27">
      <c r="A117" s="17" t="s">
        <v>1020</v>
      </c>
      <c r="B117" s="16" t="s">
        <v>1040</v>
      </c>
      <c r="C117" s="17" t="s">
        <v>1041</v>
      </c>
      <c r="D117" s="9">
        <v>1150</v>
      </c>
      <c r="E117" s="9">
        <v>29</v>
      </c>
      <c r="F117" s="9">
        <v>135</v>
      </c>
      <c r="G117" s="18" t="s">
        <v>1042</v>
      </c>
      <c r="H117" s="19" t="s">
        <v>31</v>
      </c>
      <c r="I117" s="20"/>
      <c r="J117" s="17" t="s">
        <v>1043</v>
      </c>
      <c r="K117" s="17" t="s">
        <v>1044</v>
      </c>
      <c r="L117" s="17" t="s">
        <v>1045</v>
      </c>
      <c r="M117" s="17" t="s">
        <v>1046</v>
      </c>
      <c r="N117" s="17" t="s">
        <v>1047</v>
      </c>
      <c r="O117" s="17" t="s">
        <v>1048</v>
      </c>
      <c r="P117" s="18" t="s">
        <v>38</v>
      </c>
      <c r="Q117" s="18" t="s">
        <v>38</v>
      </c>
      <c r="R117" s="18" t="s">
        <v>38</v>
      </c>
      <c r="S117" s="20">
        <v>2</v>
      </c>
      <c r="T117" s="21" t="s">
        <v>137</v>
      </c>
      <c r="U117" s="21" t="s">
        <v>137</v>
      </c>
      <c r="V117" s="21" t="s">
        <v>137</v>
      </c>
      <c r="W117" s="20" t="s">
        <v>1030</v>
      </c>
      <c r="X117" s="22" t="s">
        <v>1031</v>
      </c>
      <c r="Y117" s="36">
        <v>1150</v>
      </c>
      <c r="Z117" s="9">
        <v>29</v>
      </c>
      <c r="AA117" s="9">
        <v>135</v>
      </c>
    </row>
    <row r="118" spans="1:27">
      <c r="A118" s="17" t="s">
        <v>1020</v>
      </c>
      <c r="B118" s="16" t="s">
        <v>1049</v>
      </c>
      <c r="C118" s="17" t="s">
        <v>1050</v>
      </c>
      <c r="D118" s="9">
        <v>925</v>
      </c>
      <c r="E118" s="9">
        <v>24</v>
      </c>
      <c r="F118" s="9">
        <v>110</v>
      </c>
      <c r="G118" s="18" t="s">
        <v>1051</v>
      </c>
      <c r="H118" s="19" t="s">
        <v>31</v>
      </c>
      <c r="I118" s="20">
        <v>4820122950214</v>
      </c>
      <c r="J118" s="17" t="s">
        <v>1052</v>
      </c>
      <c r="K118" s="17" t="s">
        <v>1053</v>
      </c>
      <c r="L118" s="17" t="s">
        <v>1054</v>
      </c>
      <c r="M118" s="17" t="s">
        <v>1055</v>
      </c>
      <c r="N118" s="17" t="s">
        <v>1056</v>
      </c>
      <c r="O118" s="17" t="s">
        <v>1057</v>
      </c>
      <c r="P118" s="18" t="s">
        <v>38</v>
      </c>
      <c r="Q118" s="18" t="s">
        <v>38</v>
      </c>
      <c r="R118" s="18" t="s">
        <v>38</v>
      </c>
      <c r="S118" s="20">
        <v>1</v>
      </c>
      <c r="T118" s="21" t="s">
        <v>126</v>
      </c>
      <c r="U118" s="21" t="s">
        <v>126</v>
      </c>
      <c r="V118" s="21" t="s">
        <v>126</v>
      </c>
      <c r="W118" s="20" t="s">
        <v>1030</v>
      </c>
      <c r="X118" s="22" t="s">
        <v>1031</v>
      </c>
      <c r="Y118" s="36">
        <v>925</v>
      </c>
      <c r="Z118" s="9">
        <v>24</v>
      </c>
      <c r="AA118" s="9">
        <v>110</v>
      </c>
    </row>
    <row r="119" spans="1:27">
      <c r="A119" s="17" t="s">
        <v>1020</v>
      </c>
      <c r="B119" s="16" t="s">
        <v>1058</v>
      </c>
      <c r="C119" s="17" t="s">
        <v>1059</v>
      </c>
      <c r="D119" s="9">
        <v>1010</v>
      </c>
      <c r="E119" s="9">
        <v>28</v>
      </c>
      <c r="F119" s="9">
        <v>130</v>
      </c>
      <c r="G119" s="18" t="s">
        <v>1060</v>
      </c>
      <c r="H119" s="19" t="s">
        <v>31</v>
      </c>
      <c r="I119" s="20">
        <v>4820122950221</v>
      </c>
      <c r="J119" s="17" t="s">
        <v>1052</v>
      </c>
      <c r="K119" s="17" t="s">
        <v>1053</v>
      </c>
      <c r="L119" s="17" t="s">
        <v>1054</v>
      </c>
      <c r="M119" s="17" t="s">
        <v>1061</v>
      </c>
      <c r="N119" s="17" t="s">
        <v>1056</v>
      </c>
      <c r="O119" s="17" t="s">
        <v>1057</v>
      </c>
      <c r="P119" s="18" t="s">
        <v>38</v>
      </c>
      <c r="Q119" s="18" t="s">
        <v>38</v>
      </c>
      <c r="R119" s="18" t="s">
        <v>38</v>
      </c>
      <c r="S119" s="20">
        <v>1</v>
      </c>
      <c r="T119" s="21" t="s">
        <v>137</v>
      </c>
      <c r="U119" s="21" t="s">
        <v>137</v>
      </c>
      <c r="V119" s="21" t="s">
        <v>137</v>
      </c>
      <c r="W119" s="20" t="s">
        <v>1030</v>
      </c>
      <c r="X119" s="22" t="s">
        <v>1031</v>
      </c>
      <c r="Y119" s="36">
        <v>1010</v>
      </c>
      <c r="Z119" s="9">
        <v>28</v>
      </c>
      <c r="AA119" s="9">
        <v>130</v>
      </c>
    </row>
    <row r="120" spans="1:27">
      <c r="A120" s="17" t="s">
        <v>1020</v>
      </c>
      <c r="B120" s="16" t="s">
        <v>1062</v>
      </c>
      <c r="C120" s="17" t="s">
        <v>1063</v>
      </c>
      <c r="D120" s="9" t="s">
        <v>142</v>
      </c>
      <c r="E120" s="21" t="s">
        <v>143</v>
      </c>
      <c r="F120" s="21" t="s">
        <v>143</v>
      </c>
      <c r="G120" s="28" t="s">
        <v>1064</v>
      </c>
      <c r="H120" s="19" t="s">
        <v>31</v>
      </c>
      <c r="I120" s="20" t="s">
        <v>121</v>
      </c>
      <c r="J120" s="17" t="s">
        <v>1043</v>
      </c>
      <c r="K120" s="17" t="s">
        <v>1044</v>
      </c>
      <c r="L120" s="17" t="s">
        <v>1045</v>
      </c>
      <c r="M120" s="32" t="s">
        <v>1065</v>
      </c>
      <c r="N120" s="32" t="s">
        <v>1066</v>
      </c>
      <c r="O120" s="17"/>
      <c r="P120" s="18" t="s">
        <v>38</v>
      </c>
      <c r="Q120" s="18" t="s">
        <v>531</v>
      </c>
      <c r="R120" s="18" t="s">
        <v>532</v>
      </c>
      <c r="S120" s="26">
        <v>4</v>
      </c>
      <c r="T120" s="9" t="s">
        <v>284</v>
      </c>
      <c r="U120" s="9" t="s">
        <v>284</v>
      </c>
      <c r="V120" s="9" t="s">
        <v>284</v>
      </c>
      <c r="W120" s="20" t="s">
        <v>1030</v>
      </c>
      <c r="X120" s="22" t="s">
        <v>1031</v>
      </c>
      <c r="Y120" s="36" t="s">
        <v>142</v>
      </c>
      <c r="Z120" s="21" t="s">
        <v>143</v>
      </c>
      <c r="AA120" s="21" t="s">
        <v>143</v>
      </c>
    </row>
    <row r="121" spans="1:27">
      <c r="A121" s="17" t="s">
        <v>1020</v>
      </c>
      <c r="B121" s="16" t="s">
        <v>1067</v>
      </c>
      <c r="C121" s="17" t="s">
        <v>1068</v>
      </c>
      <c r="D121" s="9">
        <v>920</v>
      </c>
      <c r="E121" s="9">
        <v>24</v>
      </c>
      <c r="F121" s="9">
        <v>110</v>
      </c>
      <c r="G121" s="18" t="s">
        <v>1069</v>
      </c>
      <c r="H121" s="19" t="s">
        <v>31</v>
      </c>
      <c r="I121" s="20">
        <v>4820122950351</v>
      </c>
      <c r="J121" s="17" t="s">
        <v>1070</v>
      </c>
      <c r="K121" s="17" t="s">
        <v>1071</v>
      </c>
      <c r="L121" s="17" t="s">
        <v>1072</v>
      </c>
      <c r="M121" s="17" t="s">
        <v>1073</v>
      </c>
      <c r="N121" s="17"/>
      <c r="O121" s="17"/>
      <c r="P121" s="18" t="s">
        <v>38</v>
      </c>
      <c r="Q121" s="18" t="s">
        <v>38</v>
      </c>
      <c r="R121" s="18" t="s">
        <v>38</v>
      </c>
      <c r="S121" s="20">
        <v>2</v>
      </c>
      <c r="T121" s="21" t="s">
        <v>404</v>
      </c>
      <c r="U121" s="21" t="s">
        <v>404</v>
      </c>
      <c r="V121" s="21" t="s">
        <v>404</v>
      </c>
      <c r="W121" s="20" t="s">
        <v>1030</v>
      </c>
      <c r="X121" s="22" t="s">
        <v>1031</v>
      </c>
      <c r="Y121" s="29">
        <v>1015</v>
      </c>
      <c r="Z121" s="30">
        <f t="shared" ref="Z121:Z125" si="4">ROUNDUP(Y121/39,)</f>
        <v>27</v>
      </c>
      <c r="AA121" s="30">
        <v>110</v>
      </c>
    </row>
    <row r="122" spans="1:27">
      <c r="A122" s="17" t="s">
        <v>1020</v>
      </c>
      <c r="B122" s="16" t="s">
        <v>1074</v>
      </c>
      <c r="C122" s="17" t="s">
        <v>1075</v>
      </c>
      <c r="D122" s="9">
        <v>1000</v>
      </c>
      <c r="E122" s="9">
        <v>26</v>
      </c>
      <c r="F122" s="9">
        <v>115</v>
      </c>
      <c r="G122" s="18" t="s">
        <v>1076</v>
      </c>
      <c r="H122" s="19" t="s">
        <v>31</v>
      </c>
      <c r="I122" s="20">
        <v>4820122950368</v>
      </c>
      <c r="J122" s="17" t="s">
        <v>1070</v>
      </c>
      <c r="K122" s="17" t="s">
        <v>1071</v>
      </c>
      <c r="L122" s="17" t="s">
        <v>1072</v>
      </c>
      <c r="M122" s="17" t="s">
        <v>1077</v>
      </c>
      <c r="N122" s="17"/>
      <c r="O122" s="17"/>
      <c r="P122" s="18" t="s">
        <v>38</v>
      </c>
      <c r="Q122" s="18" t="s">
        <v>38</v>
      </c>
      <c r="R122" s="18" t="s">
        <v>38</v>
      </c>
      <c r="S122" s="20">
        <v>2</v>
      </c>
      <c r="T122" s="21" t="s">
        <v>284</v>
      </c>
      <c r="U122" s="21" t="s">
        <v>284</v>
      </c>
      <c r="V122" s="21" t="s">
        <v>284</v>
      </c>
      <c r="W122" s="20" t="s">
        <v>1030</v>
      </c>
      <c r="X122" s="22" t="s">
        <v>1031</v>
      </c>
      <c r="Y122" s="29">
        <v>1100</v>
      </c>
      <c r="Z122" s="30">
        <f t="shared" si="4"/>
        <v>29</v>
      </c>
      <c r="AA122" s="30">
        <v>120</v>
      </c>
    </row>
    <row r="123" spans="1:27">
      <c r="A123" s="17" t="s">
        <v>1020</v>
      </c>
      <c r="B123" s="16" t="s">
        <v>1078</v>
      </c>
      <c r="C123" s="17" t="s">
        <v>1079</v>
      </c>
      <c r="D123" s="9">
        <v>1135</v>
      </c>
      <c r="E123" s="9">
        <v>29</v>
      </c>
      <c r="F123" s="9">
        <v>130</v>
      </c>
      <c r="G123" s="18" t="s">
        <v>1080</v>
      </c>
      <c r="H123" s="19" t="s">
        <v>31</v>
      </c>
      <c r="I123" s="20">
        <v>4820122950375</v>
      </c>
      <c r="J123" s="17" t="s">
        <v>1081</v>
      </c>
      <c r="K123" s="17" t="s">
        <v>1082</v>
      </c>
      <c r="L123" s="17" t="s">
        <v>1083</v>
      </c>
      <c r="M123" s="17" t="s">
        <v>1084</v>
      </c>
      <c r="N123" s="17"/>
      <c r="O123" s="17"/>
      <c r="P123" s="18" t="s">
        <v>38</v>
      </c>
      <c r="Q123" s="18" t="s">
        <v>38</v>
      </c>
      <c r="R123" s="18" t="s">
        <v>38</v>
      </c>
      <c r="S123" s="20">
        <v>2</v>
      </c>
      <c r="T123" s="21" t="s">
        <v>1085</v>
      </c>
      <c r="U123" s="21" t="s">
        <v>1085</v>
      </c>
      <c r="V123" s="21" t="s">
        <v>1085</v>
      </c>
      <c r="W123" s="20" t="s">
        <v>1030</v>
      </c>
      <c r="X123" s="22" t="s">
        <v>1031</v>
      </c>
      <c r="Y123" s="29">
        <v>1250</v>
      </c>
      <c r="Z123" s="30">
        <f t="shared" si="4"/>
        <v>33</v>
      </c>
      <c r="AA123" s="30">
        <v>135</v>
      </c>
    </row>
    <row r="124" spans="1:27">
      <c r="A124" s="17" t="s">
        <v>1020</v>
      </c>
      <c r="B124" s="16" t="s">
        <v>1086</v>
      </c>
      <c r="C124" s="17" t="s">
        <v>1087</v>
      </c>
      <c r="D124" s="9">
        <v>1220</v>
      </c>
      <c r="E124" s="9">
        <v>31</v>
      </c>
      <c r="F124" s="9">
        <v>140</v>
      </c>
      <c r="G124" s="18" t="s">
        <v>1088</v>
      </c>
      <c r="H124" s="19" t="s">
        <v>31</v>
      </c>
      <c r="I124" s="20">
        <v>4820122950382</v>
      </c>
      <c r="J124" s="17" t="s">
        <v>1081</v>
      </c>
      <c r="K124" s="17" t="s">
        <v>1082</v>
      </c>
      <c r="L124" s="17" t="s">
        <v>1083</v>
      </c>
      <c r="M124" s="17" t="s">
        <v>1089</v>
      </c>
      <c r="N124" s="17"/>
      <c r="O124" s="17"/>
      <c r="P124" s="18" t="s">
        <v>38</v>
      </c>
      <c r="Q124" s="18" t="s">
        <v>38</v>
      </c>
      <c r="R124" s="18" t="s">
        <v>38</v>
      </c>
      <c r="S124" s="20">
        <v>2</v>
      </c>
      <c r="T124" s="21" t="s">
        <v>1090</v>
      </c>
      <c r="U124" s="21" t="s">
        <v>1090</v>
      </c>
      <c r="V124" s="21" t="s">
        <v>1090</v>
      </c>
      <c r="W124" s="20" t="s">
        <v>1030</v>
      </c>
      <c r="X124" s="22" t="s">
        <v>1031</v>
      </c>
      <c r="Y124" s="29">
        <v>1345</v>
      </c>
      <c r="Z124" s="30">
        <f t="shared" si="4"/>
        <v>35</v>
      </c>
      <c r="AA124" s="30">
        <v>145</v>
      </c>
    </row>
    <row r="125" spans="1:27">
      <c r="A125" s="17" t="s">
        <v>1020</v>
      </c>
      <c r="B125" s="16" t="s">
        <v>1091</v>
      </c>
      <c r="C125" s="17" t="s">
        <v>1092</v>
      </c>
      <c r="D125" s="9">
        <v>1320</v>
      </c>
      <c r="E125" s="9">
        <v>34</v>
      </c>
      <c r="F125" s="9">
        <v>155</v>
      </c>
      <c r="G125" s="18" t="s">
        <v>1093</v>
      </c>
      <c r="H125" s="19" t="s">
        <v>31</v>
      </c>
      <c r="I125" s="20">
        <v>4820122950399</v>
      </c>
      <c r="J125" s="17" t="s">
        <v>1081</v>
      </c>
      <c r="K125" s="17" t="s">
        <v>1082</v>
      </c>
      <c r="L125" s="17" t="s">
        <v>1083</v>
      </c>
      <c r="M125" s="17" t="s">
        <v>1094</v>
      </c>
      <c r="N125" s="17"/>
      <c r="O125" s="17"/>
      <c r="P125" s="18" t="s">
        <v>38</v>
      </c>
      <c r="Q125" s="18" t="s">
        <v>38</v>
      </c>
      <c r="R125" s="18" t="s">
        <v>38</v>
      </c>
      <c r="S125" s="20">
        <v>2</v>
      </c>
      <c r="T125" s="21" t="s">
        <v>427</v>
      </c>
      <c r="U125" s="21" t="s">
        <v>427</v>
      </c>
      <c r="V125" s="21" t="s">
        <v>427</v>
      </c>
      <c r="W125" s="20" t="s">
        <v>1030</v>
      </c>
      <c r="X125" s="22" t="s">
        <v>1031</v>
      </c>
      <c r="Y125" s="29">
        <v>1455</v>
      </c>
      <c r="Z125" s="30">
        <f t="shared" si="4"/>
        <v>38</v>
      </c>
      <c r="AA125" s="30">
        <v>155</v>
      </c>
    </row>
    <row r="126" spans="1:27">
      <c r="A126" s="17" t="s">
        <v>1020</v>
      </c>
      <c r="B126" s="16" t="s">
        <v>1095</v>
      </c>
      <c r="C126" s="17" t="s">
        <v>1096</v>
      </c>
      <c r="D126" s="9" t="s">
        <v>142</v>
      </c>
      <c r="E126" s="21" t="s">
        <v>143</v>
      </c>
      <c r="F126" s="21" t="s">
        <v>143</v>
      </c>
      <c r="G126" s="18" t="s">
        <v>1097</v>
      </c>
      <c r="H126" s="19" t="s">
        <v>31</v>
      </c>
      <c r="I126" s="20" t="s">
        <v>121</v>
      </c>
      <c r="J126" s="17" t="s">
        <v>1098</v>
      </c>
      <c r="K126" s="17" t="s">
        <v>1099</v>
      </c>
      <c r="L126" s="17" t="s">
        <v>1100</v>
      </c>
      <c r="M126" s="17"/>
      <c r="N126" s="17"/>
      <c r="O126" s="17" t="s">
        <v>1101</v>
      </c>
      <c r="P126" s="18" t="s">
        <v>38</v>
      </c>
      <c r="Q126" s="18" t="s">
        <v>38</v>
      </c>
      <c r="R126" s="18" t="s">
        <v>38</v>
      </c>
      <c r="S126" s="20">
        <v>3</v>
      </c>
      <c r="T126" s="21" t="s">
        <v>1102</v>
      </c>
      <c r="U126" s="21" t="s">
        <v>1102</v>
      </c>
      <c r="V126" s="21" t="s">
        <v>1102</v>
      </c>
      <c r="W126" s="20" t="s">
        <v>1030</v>
      </c>
      <c r="X126" s="22" t="s">
        <v>1031</v>
      </c>
      <c r="Y126" s="36" t="s">
        <v>142</v>
      </c>
      <c r="Z126" s="21" t="s">
        <v>143</v>
      </c>
      <c r="AA126" s="21" t="s">
        <v>143</v>
      </c>
    </row>
    <row r="127" spans="1:27">
      <c r="A127" s="17" t="s">
        <v>1020</v>
      </c>
      <c r="B127" s="16" t="s">
        <v>1103</v>
      </c>
      <c r="C127" s="17" t="s">
        <v>1104</v>
      </c>
      <c r="D127" s="9" t="s">
        <v>142</v>
      </c>
      <c r="E127" s="21" t="s">
        <v>143</v>
      </c>
      <c r="F127" s="21" t="s">
        <v>143</v>
      </c>
      <c r="G127" s="18" t="s">
        <v>1105</v>
      </c>
      <c r="H127" s="19" t="s">
        <v>31</v>
      </c>
      <c r="I127" s="20" t="s">
        <v>121</v>
      </c>
      <c r="J127" s="17" t="s">
        <v>1098</v>
      </c>
      <c r="K127" s="17" t="s">
        <v>1099</v>
      </c>
      <c r="L127" s="17" t="s">
        <v>1100</v>
      </c>
      <c r="M127" s="17"/>
      <c r="N127" s="17"/>
      <c r="O127" s="17" t="s">
        <v>1106</v>
      </c>
      <c r="P127" s="18" t="s">
        <v>38</v>
      </c>
      <c r="Q127" s="18" t="s">
        <v>38</v>
      </c>
      <c r="R127" s="18" t="s">
        <v>38</v>
      </c>
      <c r="S127" s="20">
        <v>3</v>
      </c>
      <c r="T127" s="21" t="s">
        <v>1107</v>
      </c>
      <c r="U127" s="21" t="s">
        <v>1107</v>
      </c>
      <c r="V127" s="21" t="s">
        <v>1107</v>
      </c>
      <c r="W127" s="20" t="s">
        <v>1030</v>
      </c>
      <c r="X127" s="22" t="s">
        <v>1031</v>
      </c>
      <c r="Y127" s="36" t="s">
        <v>142</v>
      </c>
      <c r="Z127" s="21" t="s">
        <v>143</v>
      </c>
      <c r="AA127" s="21" t="s">
        <v>143</v>
      </c>
    </row>
    <row r="128" spans="1:27">
      <c r="A128" s="17" t="s">
        <v>1020</v>
      </c>
      <c r="B128" s="16" t="s">
        <v>1108</v>
      </c>
      <c r="C128" s="17" t="s">
        <v>1109</v>
      </c>
      <c r="D128" s="9">
        <v>735</v>
      </c>
      <c r="E128" s="9">
        <v>19</v>
      </c>
      <c r="F128" s="9">
        <v>85</v>
      </c>
      <c r="G128" s="18" t="s">
        <v>1110</v>
      </c>
      <c r="H128" s="19" t="s">
        <v>31</v>
      </c>
      <c r="I128" s="20" t="s">
        <v>121</v>
      </c>
      <c r="J128" s="17" t="s">
        <v>1098</v>
      </c>
      <c r="K128" s="17" t="s">
        <v>1099</v>
      </c>
      <c r="L128" s="17" t="s">
        <v>1100</v>
      </c>
      <c r="M128" s="17" t="s">
        <v>1111</v>
      </c>
      <c r="N128" s="17" t="s">
        <v>1112</v>
      </c>
      <c r="O128" s="17"/>
      <c r="P128" s="18" t="s">
        <v>38</v>
      </c>
      <c r="Q128" s="18" t="s">
        <v>38</v>
      </c>
      <c r="R128" s="18" t="s">
        <v>38</v>
      </c>
      <c r="S128" s="20">
        <v>3</v>
      </c>
      <c r="T128" s="21" t="s">
        <v>404</v>
      </c>
      <c r="U128" s="21" t="s">
        <v>404</v>
      </c>
      <c r="V128" s="21" t="s">
        <v>404</v>
      </c>
      <c r="W128" s="20" t="s">
        <v>1030</v>
      </c>
      <c r="X128" s="22" t="s">
        <v>1031</v>
      </c>
      <c r="Y128" s="29">
        <v>810</v>
      </c>
      <c r="Z128" s="38">
        <f t="shared" ref="Z128:Z141" si="5">ROUNDUP(Y128/39,)</f>
        <v>21</v>
      </c>
      <c r="AA128" s="38">
        <v>90</v>
      </c>
    </row>
    <row r="129" spans="1:27">
      <c r="A129" s="17" t="s">
        <v>1020</v>
      </c>
      <c r="B129" s="16" t="s">
        <v>1113</v>
      </c>
      <c r="C129" s="17" t="s">
        <v>1114</v>
      </c>
      <c r="D129" s="9">
        <v>785</v>
      </c>
      <c r="E129" s="9">
        <v>20</v>
      </c>
      <c r="F129" s="9">
        <v>90</v>
      </c>
      <c r="G129" s="18" t="s">
        <v>1115</v>
      </c>
      <c r="H129" s="19" t="s">
        <v>31</v>
      </c>
      <c r="I129" s="20" t="s">
        <v>121</v>
      </c>
      <c r="J129" s="17" t="s">
        <v>1098</v>
      </c>
      <c r="K129" s="17" t="s">
        <v>1099</v>
      </c>
      <c r="L129" s="17" t="s">
        <v>1100</v>
      </c>
      <c r="M129" s="17" t="s">
        <v>1116</v>
      </c>
      <c r="N129" s="17" t="s">
        <v>1117</v>
      </c>
      <c r="O129" s="17"/>
      <c r="P129" s="18" t="s">
        <v>38</v>
      </c>
      <c r="Q129" s="18" t="s">
        <v>38</v>
      </c>
      <c r="R129" s="18" t="s">
        <v>38</v>
      </c>
      <c r="S129" s="20">
        <v>3</v>
      </c>
      <c r="T129" s="21" t="s">
        <v>284</v>
      </c>
      <c r="U129" s="21" t="s">
        <v>284</v>
      </c>
      <c r="V129" s="21" t="s">
        <v>284</v>
      </c>
      <c r="W129" s="20" t="s">
        <v>1030</v>
      </c>
      <c r="X129" s="22" t="s">
        <v>1031</v>
      </c>
      <c r="Y129" s="29">
        <v>865</v>
      </c>
      <c r="Z129" s="38">
        <f t="shared" si="5"/>
        <v>23</v>
      </c>
      <c r="AA129" s="38">
        <v>95</v>
      </c>
    </row>
    <row r="130" spans="1:27">
      <c r="A130" s="17" t="s">
        <v>1020</v>
      </c>
      <c r="B130" s="16" t="s">
        <v>1118</v>
      </c>
      <c r="C130" s="17" t="s">
        <v>1119</v>
      </c>
      <c r="D130" s="9">
        <v>905</v>
      </c>
      <c r="E130" s="9">
        <v>23</v>
      </c>
      <c r="F130" s="9">
        <v>105</v>
      </c>
      <c r="G130" s="18" t="s">
        <v>1120</v>
      </c>
      <c r="H130" s="19" t="s">
        <v>31</v>
      </c>
      <c r="I130" s="20" t="s">
        <v>121</v>
      </c>
      <c r="J130" s="17" t="s">
        <v>1098</v>
      </c>
      <c r="K130" s="17" t="s">
        <v>1099</v>
      </c>
      <c r="L130" s="17" t="s">
        <v>1100</v>
      </c>
      <c r="M130" s="17" t="s">
        <v>1121</v>
      </c>
      <c r="N130" s="17" t="s">
        <v>1122</v>
      </c>
      <c r="O130" s="17"/>
      <c r="P130" s="18" t="s">
        <v>38</v>
      </c>
      <c r="Q130" s="18" t="s">
        <v>38</v>
      </c>
      <c r="R130" s="18" t="s">
        <v>38</v>
      </c>
      <c r="S130" s="20">
        <v>3</v>
      </c>
      <c r="T130" s="21" t="s">
        <v>1085</v>
      </c>
      <c r="U130" s="21" t="s">
        <v>1085</v>
      </c>
      <c r="V130" s="21" t="s">
        <v>1085</v>
      </c>
      <c r="W130" s="20" t="s">
        <v>1030</v>
      </c>
      <c r="X130" s="22" t="s">
        <v>1031</v>
      </c>
      <c r="Y130" s="29">
        <v>1000</v>
      </c>
      <c r="Z130" s="38">
        <f t="shared" si="5"/>
        <v>26</v>
      </c>
      <c r="AA130" s="38">
        <v>105</v>
      </c>
    </row>
    <row r="131" spans="1:27">
      <c r="A131" s="17" t="s">
        <v>1020</v>
      </c>
      <c r="B131" s="16" t="s">
        <v>1123</v>
      </c>
      <c r="C131" s="17" t="s">
        <v>1124</v>
      </c>
      <c r="D131" s="9">
        <v>975</v>
      </c>
      <c r="E131" s="9">
        <v>25</v>
      </c>
      <c r="F131" s="9">
        <v>115</v>
      </c>
      <c r="G131" s="18" t="s">
        <v>1125</v>
      </c>
      <c r="H131" s="19" t="s">
        <v>31</v>
      </c>
      <c r="I131" s="20" t="s">
        <v>121</v>
      </c>
      <c r="J131" s="17" t="s">
        <v>1098</v>
      </c>
      <c r="K131" s="17" t="s">
        <v>1099</v>
      </c>
      <c r="L131" s="17" t="s">
        <v>1100</v>
      </c>
      <c r="M131" s="17" t="s">
        <v>1126</v>
      </c>
      <c r="N131" s="17" t="s">
        <v>1127</v>
      </c>
      <c r="O131" s="17"/>
      <c r="P131" s="18" t="s">
        <v>38</v>
      </c>
      <c r="Q131" s="18" t="s">
        <v>38</v>
      </c>
      <c r="R131" s="18" t="s">
        <v>38</v>
      </c>
      <c r="S131" s="20">
        <v>3</v>
      </c>
      <c r="T131" s="21" t="s">
        <v>1090</v>
      </c>
      <c r="U131" s="21" t="s">
        <v>1090</v>
      </c>
      <c r="V131" s="21" t="s">
        <v>1090</v>
      </c>
      <c r="W131" s="20" t="s">
        <v>1030</v>
      </c>
      <c r="X131" s="22" t="s">
        <v>1031</v>
      </c>
      <c r="Y131" s="29">
        <v>1075</v>
      </c>
      <c r="Z131" s="38">
        <f t="shared" si="5"/>
        <v>28</v>
      </c>
      <c r="AA131" s="38">
        <v>115</v>
      </c>
    </row>
    <row r="132" spans="1:27">
      <c r="A132" s="17" t="s">
        <v>1020</v>
      </c>
      <c r="B132" s="16" t="s">
        <v>1128</v>
      </c>
      <c r="C132" s="17" t="s">
        <v>1129</v>
      </c>
      <c r="D132" s="9">
        <v>1040</v>
      </c>
      <c r="E132" s="9">
        <v>27</v>
      </c>
      <c r="F132" s="9">
        <v>125</v>
      </c>
      <c r="G132" s="18" t="s">
        <v>1130</v>
      </c>
      <c r="H132" s="19" t="s">
        <v>31</v>
      </c>
      <c r="I132" s="20" t="s">
        <v>121</v>
      </c>
      <c r="J132" s="17" t="s">
        <v>1098</v>
      </c>
      <c r="K132" s="17" t="s">
        <v>1099</v>
      </c>
      <c r="L132" s="17" t="s">
        <v>1100</v>
      </c>
      <c r="M132" s="17" t="s">
        <v>1131</v>
      </c>
      <c r="N132" s="17" t="s">
        <v>1132</v>
      </c>
      <c r="O132" s="17"/>
      <c r="P132" s="18" t="s">
        <v>38</v>
      </c>
      <c r="Q132" s="18" t="s">
        <v>38</v>
      </c>
      <c r="R132" s="18" t="s">
        <v>38</v>
      </c>
      <c r="S132" s="20">
        <v>3</v>
      </c>
      <c r="T132" s="21" t="s">
        <v>427</v>
      </c>
      <c r="U132" s="21" t="s">
        <v>427</v>
      </c>
      <c r="V132" s="21" t="s">
        <v>427</v>
      </c>
      <c r="W132" s="20" t="s">
        <v>1030</v>
      </c>
      <c r="X132" s="22" t="s">
        <v>1031</v>
      </c>
      <c r="Y132" s="29">
        <v>1145</v>
      </c>
      <c r="Z132" s="38">
        <f t="shared" si="5"/>
        <v>30</v>
      </c>
      <c r="AA132" s="38">
        <v>120</v>
      </c>
    </row>
    <row r="133" spans="1:27">
      <c r="A133" s="17" t="s">
        <v>1020</v>
      </c>
      <c r="B133" s="16" t="s">
        <v>1133</v>
      </c>
      <c r="C133" s="17" t="s">
        <v>1134</v>
      </c>
      <c r="D133" s="9">
        <v>785</v>
      </c>
      <c r="E133" s="9">
        <v>20</v>
      </c>
      <c r="F133" s="9">
        <v>90</v>
      </c>
      <c r="G133" s="18" t="s">
        <v>1135</v>
      </c>
      <c r="H133" s="19" t="s">
        <v>31</v>
      </c>
      <c r="I133" s="20" t="s">
        <v>121</v>
      </c>
      <c r="J133" s="17" t="s">
        <v>1136</v>
      </c>
      <c r="K133" s="17" t="s">
        <v>1137</v>
      </c>
      <c r="L133" s="17" t="s">
        <v>1138</v>
      </c>
      <c r="M133" s="17" t="s">
        <v>1139</v>
      </c>
      <c r="N133" s="17" t="s">
        <v>1140</v>
      </c>
      <c r="O133" s="17"/>
      <c r="P133" s="18" t="s">
        <v>38</v>
      </c>
      <c r="Q133" s="18" t="s">
        <v>38</v>
      </c>
      <c r="R133" s="18" t="s">
        <v>38</v>
      </c>
      <c r="S133" s="20">
        <v>3</v>
      </c>
      <c r="T133" s="21" t="s">
        <v>404</v>
      </c>
      <c r="U133" s="21" t="s">
        <v>404</v>
      </c>
      <c r="V133" s="21" t="s">
        <v>404</v>
      </c>
      <c r="W133" s="20" t="s">
        <v>1030</v>
      </c>
      <c r="X133" s="22" t="s">
        <v>1031</v>
      </c>
      <c r="Y133" s="29">
        <v>865</v>
      </c>
      <c r="Z133" s="38">
        <f t="shared" si="5"/>
        <v>23</v>
      </c>
      <c r="AA133" s="38">
        <v>95</v>
      </c>
    </row>
    <row r="134" spans="1:27">
      <c r="A134" s="17" t="s">
        <v>1020</v>
      </c>
      <c r="B134" s="16" t="s">
        <v>1141</v>
      </c>
      <c r="C134" s="17" t="s">
        <v>1142</v>
      </c>
      <c r="D134" s="9">
        <v>870</v>
      </c>
      <c r="E134" s="9">
        <v>22</v>
      </c>
      <c r="F134" s="9">
        <v>100</v>
      </c>
      <c r="G134" s="18" t="s">
        <v>1143</v>
      </c>
      <c r="H134" s="19" t="s">
        <v>31</v>
      </c>
      <c r="I134" s="20" t="s">
        <v>121</v>
      </c>
      <c r="J134" s="17" t="s">
        <v>1136</v>
      </c>
      <c r="K134" s="17" t="s">
        <v>1137</v>
      </c>
      <c r="L134" s="17" t="s">
        <v>1138</v>
      </c>
      <c r="M134" s="17" t="s">
        <v>1144</v>
      </c>
      <c r="N134" s="17" t="s">
        <v>1145</v>
      </c>
      <c r="O134" s="17"/>
      <c r="P134" s="18" t="s">
        <v>38</v>
      </c>
      <c r="Q134" s="18" t="s">
        <v>38</v>
      </c>
      <c r="R134" s="18" t="s">
        <v>38</v>
      </c>
      <c r="S134" s="20">
        <v>3</v>
      </c>
      <c r="T134" s="21" t="s">
        <v>284</v>
      </c>
      <c r="U134" s="21" t="s">
        <v>284</v>
      </c>
      <c r="V134" s="21" t="s">
        <v>284</v>
      </c>
      <c r="W134" s="20" t="s">
        <v>1030</v>
      </c>
      <c r="X134" s="22" t="s">
        <v>1031</v>
      </c>
      <c r="Y134" s="29">
        <v>960</v>
      </c>
      <c r="Z134" s="38">
        <f t="shared" si="5"/>
        <v>25</v>
      </c>
      <c r="AA134" s="38">
        <v>105</v>
      </c>
    </row>
    <row r="135" spans="1:27">
      <c r="A135" s="17" t="s">
        <v>1020</v>
      </c>
      <c r="B135" s="16" t="s">
        <v>1146</v>
      </c>
      <c r="C135" s="17" t="s">
        <v>1147</v>
      </c>
      <c r="D135" s="9">
        <v>945</v>
      </c>
      <c r="E135" s="9">
        <v>24</v>
      </c>
      <c r="F135" s="9">
        <v>110</v>
      </c>
      <c r="G135" s="18" t="s">
        <v>1148</v>
      </c>
      <c r="H135" s="19" t="s">
        <v>31</v>
      </c>
      <c r="I135" s="20" t="s">
        <v>121</v>
      </c>
      <c r="J135" s="17" t="s">
        <v>1136</v>
      </c>
      <c r="K135" s="17" t="s">
        <v>1137</v>
      </c>
      <c r="L135" s="17" t="s">
        <v>1138</v>
      </c>
      <c r="M135" s="17" t="s">
        <v>1149</v>
      </c>
      <c r="N135" s="17" t="s">
        <v>1150</v>
      </c>
      <c r="O135" s="17"/>
      <c r="P135" s="18" t="s">
        <v>38</v>
      </c>
      <c r="Q135" s="18" t="s">
        <v>38</v>
      </c>
      <c r="R135" s="18" t="s">
        <v>38</v>
      </c>
      <c r="S135" s="20">
        <v>3</v>
      </c>
      <c r="T135" s="21" t="s">
        <v>1085</v>
      </c>
      <c r="U135" s="21" t="s">
        <v>1085</v>
      </c>
      <c r="V135" s="21" t="s">
        <v>1085</v>
      </c>
      <c r="W135" s="20" t="s">
        <v>1030</v>
      </c>
      <c r="X135" s="22" t="s">
        <v>1031</v>
      </c>
      <c r="Y135" s="29">
        <v>1040</v>
      </c>
      <c r="Z135" s="38">
        <f t="shared" si="5"/>
        <v>27</v>
      </c>
      <c r="AA135" s="38">
        <v>110</v>
      </c>
    </row>
    <row r="136" spans="1:27">
      <c r="A136" s="17" t="s">
        <v>1020</v>
      </c>
      <c r="B136" s="16" t="s">
        <v>1151</v>
      </c>
      <c r="C136" s="17" t="s">
        <v>1152</v>
      </c>
      <c r="D136" s="9">
        <v>1020</v>
      </c>
      <c r="E136" s="9">
        <v>26</v>
      </c>
      <c r="F136" s="9">
        <v>120</v>
      </c>
      <c r="G136" s="18" t="s">
        <v>1153</v>
      </c>
      <c r="H136" s="19" t="s">
        <v>31</v>
      </c>
      <c r="I136" s="20" t="s">
        <v>121</v>
      </c>
      <c r="J136" s="17" t="s">
        <v>1136</v>
      </c>
      <c r="K136" s="17" t="s">
        <v>1137</v>
      </c>
      <c r="L136" s="17" t="s">
        <v>1138</v>
      </c>
      <c r="M136" s="17" t="s">
        <v>1154</v>
      </c>
      <c r="N136" s="17" t="s">
        <v>1155</v>
      </c>
      <c r="O136" s="17"/>
      <c r="P136" s="18" t="s">
        <v>38</v>
      </c>
      <c r="Q136" s="18" t="s">
        <v>38</v>
      </c>
      <c r="R136" s="18" t="s">
        <v>38</v>
      </c>
      <c r="S136" s="20">
        <v>3</v>
      </c>
      <c r="T136" s="21" t="s">
        <v>1090</v>
      </c>
      <c r="U136" s="21" t="s">
        <v>1090</v>
      </c>
      <c r="V136" s="21" t="s">
        <v>1090</v>
      </c>
      <c r="W136" s="20" t="s">
        <v>1030</v>
      </c>
      <c r="X136" s="22" t="s">
        <v>1031</v>
      </c>
      <c r="Y136" s="29">
        <v>1125</v>
      </c>
      <c r="Z136" s="38">
        <f t="shared" si="5"/>
        <v>29</v>
      </c>
      <c r="AA136" s="38">
        <v>120</v>
      </c>
    </row>
    <row r="137" spans="1:27">
      <c r="A137" s="17" t="s">
        <v>1020</v>
      </c>
      <c r="B137" s="16" t="s">
        <v>1156</v>
      </c>
      <c r="C137" s="17" t="s">
        <v>1157</v>
      </c>
      <c r="D137" s="9">
        <v>1105</v>
      </c>
      <c r="E137" s="9">
        <v>28</v>
      </c>
      <c r="F137" s="9">
        <v>130</v>
      </c>
      <c r="G137" s="18" t="s">
        <v>1158</v>
      </c>
      <c r="H137" s="19" t="s">
        <v>31</v>
      </c>
      <c r="I137" s="20" t="s">
        <v>121</v>
      </c>
      <c r="J137" s="17" t="s">
        <v>1136</v>
      </c>
      <c r="K137" s="17" t="s">
        <v>1137</v>
      </c>
      <c r="L137" s="17" t="s">
        <v>1138</v>
      </c>
      <c r="M137" s="17" t="s">
        <v>1159</v>
      </c>
      <c r="N137" s="17" t="s">
        <v>1160</v>
      </c>
      <c r="O137" s="17"/>
      <c r="P137" s="18" t="s">
        <v>38</v>
      </c>
      <c r="Q137" s="18" t="s">
        <v>38</v>
      </c>
      <c r="R137" s="18" t="s">
        <v>38</v>
      </c>
      <c r="S137" s="20">
        <v>3</v>
      </c>
      <c r="T137" s="21" t="s">
        <v>427</v>
      </c>
      <c r="U137" s="21" t="s">
        <v>427</v>
      </c>
      <c r="V137" s="21" t="s">
        <v>427</v>
      </c>
      <c r="W137" s="20" t="s">
        <v>1030</v>
      </c>
      <c r="X137" s="22" t="s">
        <v>1031</v>
      </c>
      <c r="Y137" s="29">
        <v>1215</v>
      </c>
      <c r="Z137" s="38">
        <f t="shared" si="5"/>
        <v>32</v>
      </c>
      <c r="AA137" s="38">
        <v>130</v>
      </c>
    </row>
    <row r="138" spans="1:27">
      <c r="A138" s="17" t="s">
        <v>1020</v>
      </c>
      <c r="B138" s="16" t="s">
        <v>1161</v>
      </c>
      <c r="C138" s="17" t="s">
        <v>1162</v>
      </c>
      <c r="D138" s="9">
        <v>1185</v>
      </c>
      <c r="E138" s="9">
        <v>30</v>
      </c>
      <c r="F138" s="9">
        <v>140</v>
      </c>
      <c r="G138" s="28" t="s">
        <v>1163</v>
      </c>
      <c r="H138" s="19" t="s">
        <v>31</v>
      </c>
      <c r="I138" s="20">
        <v>4820122950269</v>
      </c>
      <c r="J138" s="17" t="s">
        <v>1164</v>
      </c>
      <c r="K138" s="17" t="s">
        <v>1165</v>
      </c>
      <c r="L138" s="17" t="s">
        <v>1166</v>
      </c>
      <c r="M138" s="17" t="s">
        <v>1167</v>
      </c>
      <c r="N138" s="17" t="s">
        <v>1168</v>
      </c>
      <c r="O138" s="17" t="s">
        <v>1169</v>
      </c>
      <c r="P138" s="18" t="s">
        <v>38</v>
      </c>
      <c r="Q138" s="18" t="s">
        <v>38</v>
      </c>
      <c r="R138" s="18" t="s">
        <v>38</v>
      </c>
      <c r="S138" s="20">
        <v>2</v>
      </c>
      <c r="T138" s="21" t="s">
        <v>1085</v>
      </c>
      <c r="U138" s="21" t="s">
        <v>1085</v>
      </c>
      <c r="V138" s="21" t="s">
        <v>1085</v>
      </c>
      <c r="W138" s="20" t="s">
        <v>1030</v>
      </c>
      <c r="X138" s="22" t="s">
        <v>1031</v>
      </c>
      <c r="Y138" s="29">
        <v>1305</v>
      </c>
      <c r="Z138" s="38">
        <f t="shared" si="5"/>
        <v>34</v>
      </c>
      <c r="AA138" s="38">
        <v>140</v>
      </c>
    </row>
    <row r="139" spans="1:27">
      <c r="A139" s="17" t="s">
        <v>1020</v>
      </c>
      <c r="B139" s="16" t="s">
        <v>1170</v>
      </c>
      <c r="C139" s="17" t="s">
        <v>1171</v>
      </c>
      <c r="D139" s="9">
        <v>1295</v>
      </c>
      <c r="E139" s="9">
        <v>33</v>
      </c>
      <c r="F139" s="9">
        <v>155</v>
      </c>
      <c r="G139" s="18" t="s">
        <v>1172</v>
      </c>
      <c r="H139" s="19" t="s">
        <v>31</v>
      </c>
      <c r="I139" s="20">
        <v>4820122950405</v>
      </c>
      <c r="J139" s="17" t="s">
        <v>1173</v>
      </c>
      <c r="K139" s="17" t="s">
        <v>1174</v>
      </c>
      <c r="L139" s="17" t="s">
        <v>1175</v>
      </c>
      <c r="M139" s="17" t="s">
        <v>1176</v>
      </c>
      <c r="N139" s="17"/>
      <c r="O139" s="17" t="s">
        <v>1177</v>
      </c>
      <c r="P139" s="18" t="s">
        <v>38</v>
      </c>
      <c r="Q139" s="18" t="s">
        <v>38</v>
      </c>
      <c r="R139" s="18" t="s">
        <v>38</v>
      </c>
      <c r="S139" s="20">
        <v>3</v>
      </c>
      <c r="T139" s="21" t="s">
        <v>427</v>
      </c>
      <c r="U139" s="21" t="s">
        <v>427</v>
      </c>
      <c r="V139" s="21" t="s">
        <v>427</v>
      </c>
      <c r="W139" s="20" t="s">
        <v>1030</v>
      </c>
      <c r="X139" s="22" t="s">
        <v>1031</v>
      </c>
      <c r="Y139" s="29">
        <v>1425</v>
      </c>
      <c r="Z139" s="38">
        <f t="shared" si="5"/>
        <v>37</v>
      </c>
      <c r="AA139" s="38">
        <v>155</v>
      </c>
    </row>
    <row r="140" spans="1:27">
      <c r="A140" s="17" t="s">
        <v>1020</v>
      </c>
      <c r="B140" s="16" t="s">
        <v>1178</v>
      </c>
      <c r="C140" s="17" t="s">
        <v>1179</v>
      </c>
      <c r="D140" s="9">
        <v>1285</v>
      </c>
      <c r="E140" s="9">
        <v>33</v>
      </c>
      <c r="F140" s="9">
        <v>150</v>
      </c>
      <c r="G140" s="18" t="s">
        <v>1180</v>
      </c>
      <c r="H140" s="19" t="s">
        <v>31</v>
      </c>
      <c r="I140" s="20">
        <v>4820122950276</v>
      </c>
      <c r="J140" s="17" t="s">
        <v>1164</v>
      </c>
      <c r="K140" s="17" t="s">
        <v>1165</v>
      </c>
      <c r="L140" s="17" t="s">
        <v>1166</v>
      </c>
      <c r="M140" s="17" t="s">
        <v>1181</v>
      </c>
      <c r="N140" s="17" t="s">
        <v>1182</v>
      </c>
      <c r="O140" s="17" t="s">
        <v>1183</v>
      </c>
      <c r="P140" s="18" t="s">
        <v>38</v>
      </c>
      <c r="Q140" s="18" t="s">
        <v>38</v>
      </c>
      <c r="R140" s="18" t="s">
        <v>38</v>
      </c>
      <c r="S140" s="20">
        <v>2</v>
      </c>
      <c r="T140" s="21" t="s">
        <v>427</v>
      </c>
      <c r="U140" s="21" t="s">
        <v>427</v>
      </c>
      <c r="V140" s="21" t="s">
        <v>427</v>
      </c>
      <c r="W140" s="20" t="s">
        <v>1030</v>
      </c>
      <c r="X140" s="22" t="s">
        <v>1031</v>
      </c>
      <c r="Y140" s="29">
        <v>1415</v>
      </c>
      <c r="Z140" s="38">
        <f t="shared" si="5"/>
        <v>37</v>
      </c>
      <c r="AA140" s="38">
        <v>150</v>
      </c>
    </row>
    <row r="141" spans="1:27">
      <c r="A141" s="17" t="s">
        <v>1020</v>
      </c>
      <c r="B141" s="16" t="s">
        <v>1184</v>
      </c>
      <c r="C141" s="17" t="s">
        <v>1185</v>
      </c>
      <c r="D141" s="9">
        <v>950</v>
      </c>
      <c r="E141" s="9">
        <v>24</v>
      </c>
      <c r="F141" s="9">
        <v>110</v>
      </c>
      <c r="G141" s="18" t="s">
        <v>1186</v>
      </c>
      <c r="H141" s="19" t="s">
        <v>31</v>
      </c>
      <c r="I141" s="20" t="s">
        <v>121</v>
      </c>
      <c r="J141" s="17" t="s">
        <v>1187</v>
      </c>
      <c r="K141" s="17" t="s">
        <v>1188</v>
      </c>
      <c r="L141" s="17" t="s">
        <v>1188</v>
      </c>
      <c r="M141" s="17" t="s">
        <v>1189</v>
      </c>
      <c r="N141" s="17"/>
      <c r="O141" s="17"/>
      <c r="P141" s="18" t="s">
        <v>38</v>
      </c>
      <c r="Q141" s="18" t="s">
        <v>38</v>
      </c>
      <c r="R141" s="18" t="s">
        <v>38</v>
      </c>
      <c r="S141" s="20">
        <v>3</v>
      </c>
      <c r="T141" s="21" t="s">
        <v>1190</v>
      </c>
      <c r="U141" s="21" t="s">
        <v>1190</v>
      </c>
      <c r="V141" s="21" t="s">
        <v>1190</v>
      </c>
      <c r="W141" s="20" t="s">
        <v>1030</v>
      </c>
      <c r="X141" s="22" t="s">
        <v>1031</v>
      </c>
      <c r="Y141" s="29">
        <v>1045</v>
      </c>
      <c r="Z141" s="38">
        <f t="shared" si="5"/>
        <v>27</v>
      </c>
      <c r="AA141" s="38">
        <v>115</v>
      </c>
    </row>
    <row r="142" spans="1:27">
      <c r="A142" s="17" t="s">
        <v>1020</v>
      </c>
      <c r="B142" s="16" t="s">
        <v>1191</v>
      </c>
      <c r="C142" s="17" t="s">
        <v>1192</v>
      </c>
      <c r="D142" s="9">
        <v>4035</v>
      </c>
      <c r="E142" s="9">
        <v>103</v>
      </c>
      <c r="F142" s="9">
        <v>465</v>
      </c>
      <c r="G142" s="18" t="s">
        <v>1193</v>
      </c>
      <c r="H142" s="19" t="s">
        <v>1194</v>
      </c>
      <c r="I142" s="20">
        <v>4820122950313</v>
      </c>
      <c r="J142" s="17" t="s">
        <v>1195</v>
      </c>
      <c r="K142" s="17" t="s">
        <v>1196</v>
      </c>
      <c r="L142" s="17" t="s">
        <v>1197</v>
      </c>
      <c r="M142" s="17" t="s">
        <v>1198</v>
      </c>
      <c r="N142" s="17" t="s">
        <v>1199</v>
      </c>
      <c r="O142" s="17" t="s">
        <v>1200</v>
      </c>
      <c r="P142" s="18" t="s">
        <v>38</v>
      </c>
      <c r="Q142" s="18" t="s">
        <v>38</v>
      </c>
      <c r="R142" s="18" t="s">
        <v>38</v>
      </c>
      <c r="S142" s="20">
        <v>2</v>
      </c>
      <c r="T142" s="21" t="s">
        <v>427</v>
      </c>
      <c r="U142" s="21" t="s">
        <v>427</v>
      </c>
      <c r="V142" s="21" t="s">
        <v>427</v>
      </c>
      <c r="W142" s="20" t="s">
        <v>1030</v>
      </c>
      <c r="X142" s="22" t="s">
        <v>1031</v>
      </c>
      <c r="Y142" s="36">
        <v>4035</v>
      </c>
      <c r="Z142" s="9">
        <v>103</v>
      </c>
      <c r="AA142" s="9">
        <v>465</v>
      </c>
    </row>
    <row r="143" spans="1:27">
      <c r="A143" s="17" t="s">
        <v>1201</v>
      </c>
      <c r="B143" s="16" t="s">
        <v>1202</v>
      </c>
      <c r="C143" s="17" t="s">
        <v>1202</v>
      </c>
      <c r="D143" s="9">
        <v>4350</v>
      </c>
      <c r="E143" s="9">
        <v>112</v>
      </c>
      <c r="F143" s="9">
        <v>500</v>
      </c>
      <c r="G143" s="18" t="s">
        <v>1203</v>
      </c>
      <c r="H143" s="42" t="s">
        <v>121</v>
      </c>
      <c r="I143" s="20">
        <v>4820122950337</v>
      </c>
      <c r="J143" s="17" t="s">
        <v>1204</v>
      </c>
      <c r="K143" s="17" t="s">
        <v>1205</v>
      </c>
      <c r="L143" s="17" t="s">
        <v>1206</v>
      </c>
      <c r="M143" s="17" t="s">
        <v>1207</v>
      </c>
      <c r="N143" s="17" t="s">
        <v>1208</v>
      </c>
      <c r="O143" s="17" t="s">
        <v>1209</v>
      </c>
      <c r="P143" s="18" t="s">
        <v>38</v>
      </c>
      <c r="Q143" s="18" t="s">
        <v>38</v>
      </c>
      <c r="R143" s="18" t="s">
        <v>38</v>
      </c>
      <c r="S143" s="20">
        <v>2</v>
      </c>
      <c r="T143" s="21" t="s">
        <v>414</v>
      </c>
      <c r="U143" s="21" t="s">
        <v>415</v>
      </c>
      <c r="V143" s="21" t="s">
        <v>415</v>
      </c>
      <c r="W143" s="20" t="s">
        <v>1210</v>
      </c>
      <c r="X143" s="22" t="s">
        <v>1211</v>
      </c>
      <c r="Y143" s="23">
        <v>4350</v>
      </c>
      <c r="Z143" s="9">
        <v>112</v>
      </c>
      <c r="AA143" s="9">
        <v>500</v>
      </c>
    </row>
    <row r="144" spans="1:27">
      <c r="A144" s="17" t="s">
        <v>1201</v>
      </c>
      <c r="B144" s="16" t="s">
        <v>1212</v>
      </c>
      <c r="C144" s="17" t="s">
        <v>1212</v>
      </c>
      <c r="D144" s="9">
        <v>2900</v>
      </c>
      <c r="E144" s="9">
        <v>74</v>
      </c>
      <c r="F144" s="9">
        <v>335</v>
      </c>
      <c r="G144" s="18" t="s">
        <v>1213</v>
      </c>
      <c r="H144" s="43"/>
      <c r="I144" s="20">
        <v>4820122950344</v>
      </c>
      <c r="J144" s="17" t="s">
        <v>1214</v>
      </c>
      <c r="K144" s="17" t="s">
        <v>1215</v>
      </c>
      <c r="L144" s="17" t="s">
        <v>1216</v>
      </c>
      <c r="M144" s="17" t="s">
        <v>1217</v>
      </c>
      <c r="N144" s="17" t="s">
        <v>1012</v>
      </c>
      <c r="O144" s="17" t="s">
        <v>1218</v>
      </c>
      <c r="P144" s="18" t="s">
        <v>530</v>
      </c>
      <c r="Q144" s="18" t="s">
        <v>531</v>
      </c>
      <c r="R144" s="18" t="s">
        <v>532</v>
      </c>
      <c r="S144" s="20" t="s">
        <v>121</v>
      </c>
      <c r="T144" s="21" t="s">
        <v>1219</v>
      </c>
      <c r="U144" s="21" t="s">
        <v>1220</v>
      </c>
      <c r="V144" s="21" t="s">
        <v>1220</v>
      </c>
      <c r="W144" s="20" t="s">
        <v>1210</v>
      </c>
      <c r="X144" s="22" t="s">
        <v>1211</v>
      </c>
      <c r="Y144" s="23">
        <v>2900</v>
      </c>
      <c r="Z144" s="9">
        <v>74</v>
      </c>
      <c r="AA144" s="9">
        <v>335</v>
      </c>
    </row>
    <row r="145" spans="1:27">
      <c r="A145" s="17" t="s">
        <v>1201</v>
      </c>
      <c r="B145" s="16" t="s">
        <v>1221</v>
      </c>
      <c r="C145" s="17" t="s">
        <v>1221</v>
      </c>
      <c r="D145" s="9">
        <v>7245</v>
      </c>
      <c r="E145" s="9">
        <v>186</v>
      </c>
      <c r="F145" s="9">
        <v>835</v>
      </c>
      <c r="G145" s="18" t="s">
        <v>1222</v>
      </c>
      <c r="H145" s="11"/>
      <c r="I145" s="20">
        <v>4820122950320</v>
      </c>
      <c r="J145" s="17" t="s">
        <v>1223</v>
      </c>
      <c r="K145" s="17" t="s">
        <v>1224</v>
      </c>
      <c r="L145" s="17" t="s">
        <v>1225</v>
      </c>
      <c r="M145" s="17" t="s">
        <v>1226</v>
      </c>
      <c r="N145" s="17" t="s">
        <v>1208</v>
      </c>
      <c r="O145" s="17" t="s">
        <v>1218</v>
      </c>
      <c r="P145" s="18" t="s">
        <v>684</v>
      </c>
      <c r="Q145" s="18" t="s">
        <v>685</v>
      </c>
      <c r="R145" s="18" t="s">
        <v>686</v>
      </c>
      <c r="S145" s="20" t="s">
        <v>121</v>
      </c>
      <c r="T145" s="21" t="s">
        <v>121</v>
      </c>
      <c r="U145" s="21" t="s">
        <v>121</v>
      </c>
      <c r="V145" s="21" t="s">
        <v>121</v>
      </c>
      <c r="W145" s="20" t="s">
        <v>1210</v>
      </c>
      <c r="X145" s="22" t="s">
        <v>1211</v>
      </c>
      <c r="Y145" s="23">
        <v>7245</v>
      </c>
      <c r="Z145" s="9">
        <v>186</v>
      </c>
      <c r="AA145" s="9">
        <v>835</v>
      </c>
    </row>
    <row r="146" spans="1:27">
      <c r="A146" s="44" t="s">
        <v>1227</v>
      </c>
      <c r="B146" s="16" t="s">
        <v>1228</v>
      </c>
      <c r="C146" s="16" t="s">
        <v>1228</v>
      </c>
      <c r="D146" s="9">
        <v>5040</v>
      </c>
      <c r="E146" s="9">
        <v>129</v>
      </c>
      <c r="F146" s="21" t="s">
        <v>568</v>
      </c>
      <c r="G146" s="28" t="s">
        <v>1229</v>
      </c>
      <c r="H146" s="45" t="s">
        <v>478</v>
      </c>
      <c r="I146" s="20"/>
      <c r="J146" s="16" t="s">
        <v>1230</v>
      </c>
      <c r="K146" s="16" t="s">
        <v>1231</v>
      </c>
      <c r="L146" s="16" t="s">
        <v>1232</v>
      </c>
      <c r="M146" s="17"/>
      <c r="N146" s="17"/>
      <c r="O146" s="17"/>
      <c r="P146" s="18" t="s">
        <v>684</v>
      </c>
      <c r="Q146" s="18" t="s">
        <v>685</v>
      </c>
      <c r="R146" s="18" t="s">
        <v>686</v>
      </c>
      <c r="S146" s="26" t="s">
        <v>121</v>
      </c>
      <c r="T146" s="9" t="s">
        <v>1233</v>
      </c>
      <c r="U146" s="9" t="s">
        <v>1234</v>
      </c>
      <c r="V146" s="9" t="s">
        <v>1234</v>
      </c>
      <c r="W146" s="26" t="s">
        <v>1235</v>
      </c>
      <c r="X146" s="40" t="s">
        <v>1236</v>
      </c>
      <c r="Y146" s="23">
        <v>5040</v>
      </c>
      <c r="Z146" s="9">
        <v>129</v>
      </c>
      <c r="AA146" s="21" t="s">
        <v>568</v>
      </c>
    </row>
    <row r="147" spans="1:27">
      <c r="A147" s="46" t="s">
        <v>1227</v>
      </c>
      <c r="B147" s="16" t="s">
        <v>1237</v>
      </c>
      <c r="C147" s="16" t="s">
        <v>1237</v>
      </c>
      <c r="D147" s="9">
        <v>9450</v>
      </c>
      <c r="E147" s="9">
        <v>242</v>
      </c>
      <c r="F147" s="21" t="s">
        <v>568</v>
      </c>
      <c r="G147" s="28" t="s">
        <v>1238</v>
      </c>
      <c r="H147" s="47" t="s">
        <v>478</v>
      </c>
      <c r="I147" s="20"/>
      <c r="J147" s="16" t="s">
        <v>1239</v>
      </c>
      <c r="K147" s="16" t="s">
        <v>1240</v>
      </c>
      <c r="L147" s="48" t="s">
        <v>1241</v>
      </c>
      <c r="M147" s="17"/>
      <c r="N147" s="17"/>
      <c r="O147" s="17"/>
      <c r="P147" s="18" t="s">
        <v>684</v>
      </c>
      <c r="Q147" s="18" t="s">
        <v>685</v>
      </c>
      <c r="R147" s="18" t="s">
        <v>686</v>
      </c>
      <c r="S147" s="26" t="s">
        <v>121</v>
      </c>
      <c r="T147" s="9" t="s">
        <v>1242</v>
      </c>
      <c r="U147" s="9" t="s">
        <v>1243</v>
      </c>
      <c r="V147" s="9" t="s">
        <v>1243</v>
      </c>
      <c r="W147" s="26" t="s">
        <v>1235</v>
      </c>
      <c r="X147" s="40" t="s">
        <v>1236</v>
      </c>
      <c r="Y147" s="23">
        <v>9450</v>
      </c>
      <c r="Z147" s="9">
        <v>242</v>
      </c>
      <c r="AA147" s="21" t="s">
        <v>568</v>
      </c>
    </row>
    <row r="148" spans="1:27">
      <c r="A148" s="49" t="s">
        <v>1227</v>
      </c>
      <c r="B148" s="16" t="s">
        <v>1244</v>
      </c>
      <c r="C148" s="16" t="s">
        <v>1244</v>
      </c>
      <c r="D148" s="9">
        <v>16395</v>
      </c>
      <c r="E148" s="9">
        <v>420</v>
      </c>
      <c r="F148" s="21" t="s">
        <v>568</v>
      </c>
      <c r="G148" s="28" t="s">
        <v>1245</v>
      </c>
      <c r="H148" s="50" t="s">
        <v>478</v>
      </c>
      <c r="I148" s="20"/>
      <c r="J148" s="16" t="s">
        <v>1246</v>
      </c>
      <c r="K148" s="16" t="s">
        <v>1247</v>
      </c>
      <c r="L148" s="16" t="s">
        <v>1248</v>
      </c>
      <c r="M148" s="17"/>
      <c r="N148" s="17"/>
      <c r="O148" s="17"/>
      <c r="P148" s="18" t="s">
        <v>684</v>
      </c>
      <c r="Q148" s="18" t="s">
        <v>685</v>
      </c>
      <c r="R148" s="18" t="s">
        <v>686</v>
      </c>
      <c r="S148" s="26" t="s">
        <v>121</v>
      </c>
      <c r="T148" s="9" t="s">
        <v>1249</v>
      </c>
      <c r="U148" s="9" t="s">
        <v>1250</v>
      </c>
      <c r="V148" s="9" t="s">
        <v>1250</v>
      </c>
      <c r="W148" s="26" t="s">
        <v>1235</v>
      </c>
      <c r="X148" s="40" t="s">
        <v>1236</v>
      </c>
      <c r="Y148" s="23">
        <v>16395</v>
      </c>
      <c r="Z148" s="9">
        <v>420</v>
      </c>
      <c r="AA148" s="21" t="s">
        <v>568</v>
      </c>
    </row>
    <row r="149" spans="1:27">
      <c r="A149" s="51" t="s">
        <v>1251</v>
      </c>
      <c r="B149" s="16" t="s">
        <v>1252</v>
      </c>
      <c r="C149" s="16" t="s">
        <v>1252</v>
      </c>
      <c r="D149" s="9">
        <v>9605</v>
      </c>
      <c r="E149" s="9">
        <v>246</v>
      </c>
      <c r="F149" s="9">
        <v>1150</v>
      </c>
      <c r="G149" s="28" t="s">
        <v>1253</v>
      </c>
      <c r="H149" s="31" t="s">
        <v>1254</v>
      </c>
      <c r="I149" s="20"/>
      <c r="J149" s="16" t="s">
        <v>1255</v>
      </c>
      <c r="K149" s="16"/>
      <c r="L149" s="16"/>
      <c r="M149" s="32" t="s">
        <v>1256</v>
      </c>
      <c r="N149" s="17"/>
      <c r="O149" s="17"/>
      <c r="P149" s="18" t="s">
        <v>684</v>
      </c>
      <c r="Q149" s="18" t="s">
        <v>685</v>
      </c>
      <c r="R149" s="18" t="s">
        <v>686</v>
      </c>
      <c r="S149" s="26" t="s">
        <v>121</v>
      </c>
      <c r="T149" s="9" t="s">
        <v>121</v>
      </c>
      <c r="U149" s="9" t="s">
        <v>121</v>
      </c>
      <c r="V149" s="9" t="s">
        <v>121</v>
      </c>
      <c r="W149" s="26"/>
      <c r="X149" s="40"/>
      <c r="Y149" s="23">
        <v>9605</v>
      </c>
      <c r="Z149" s="9">
        <v>246</v>
      </c>
      <c r="AA149" s="9">
        <v>1150</v>
      </c>
    </row>
    <row r="150" spans="1:27">
      <c r="A150" s="51" t="s">
        <v>1257</v>
      </c>
      <c r="B150" s="17" t="s">
        <v>1258</v>
      </c>
      <c r="C150" s="16"/>
      <c r="D150" s="9">
        <v>5300</v>
      </c>
      <c r="E150" s="9"/>
      <c r="F150" s="9"/>
      <c r="G150" s="28" t="s">
        <v>121</v>
      </c>
      <c r="H150" s="31" t="s">
        <v>1259</v>
      </c>
      <c r="I150" s="20"/>
      <c r="J150" s="16" t="s">
        <v>1260</v>
      </c>
      <c r="K150" s="16"/>
      <c r="L150" s="16"/>
      <c r="M150" s="32" t="s">
        <v>1261</v>
      </c>
      <c r="N150" s="17"/>
      <c r="O150" s="17"/>
      <c r="P150" s="18" t="s">
        <v>684</v>
      </c>
      <c r="Q150" s="18"/>
      <c r="R150" s="18"/>
      <c r="S150" s="26" t="s">
        <v>121</v>
      </c>
      <c r="T150" s="9" t="s">
        <v>1262</v>
      </c>
      <c r="U150" s="9"/>
      <c r="V150" s="9"/>
      <c r="W150" s="26"/>
      <c r="X150" s="40"/>
      <c r="Y150" s="23">
        <v>5300</v>
      </c>
      <c r="Z150" s="9"/>
      <c r="AA150" s="9"/>
    </row>
    <row r="151" spans="1:27">
      <c r="A151" s="44" t="s">
        <v>1257</v>
      </c>
      <c r="B151" s="52" t="s">
        <v>1263</v>
      </c>
      <c r="C151" s="53"/>
      <c r="D151" s="54">
        <v>6930</v>
      </c>
      <c r="E151" s="55"/>
      <c r="F151" s="56"/>
      <c r="G151" s="57" t="s">
        <v>121</v>
      </c>
      <c r="H151" s="58" t="s">
        <v>1259</v>
      </c>
      <c r="I151" s="59"/>
      <c r="J151" s="52" t="s">
        <v>1264</v>
      </c>
      <c r="K151" s="53"/>
      <c r="L151" s="53"/>
      <c r="M151" s="60" t="s">
        <v>1265</v>
      </c>
      <c r="N151" s="61"/>
      <c r="O151" s="61"/>
      <c r="P151" s="18" t="s">
        <v>684</v>
      </c>
      <c r="Q151" s="62"/>
      <c r="R151" s="62"/>
      <c r="S151" s="26" t="s">
        <v>121</v>
      </c>
      <c r="T151" s="63" t="s">
        <v>1266</v>
      </c>
      <c r="U151" s="55"/>
      <c r="V151" s="55"/>
      <c r="W151" s="64"/>
      <c r="X151" s="65"/>
      <c r="Y151" s="66">
        <v>6930</v>
      </c>
      <c r="Z151" s="55"/>
      <c r="AA151" s="56"/>
    </row>
    <row r="152" spans="1:27">
      <c r="A152" s="44" t="s">
        <v>1257</v>
      </c>
      <c r="B152" s="52" t="s">
        <v>1267</v>
      </c>
      <c r="C152" s="53"/>
      <c r="D152" s="54">
        <v>8250</v>
      </c>
      <c r="E152" s="55"/>
      <c r="F152" s="56"/>
      <c r="G152" s="57" t="s">
        <v>121</v>
      </c>
      <c r="H152" s="58" t="s">
        <v>1259</v>
      </c>
      <c r="I152" s="59"/>
      <c r="J152" s="52" t="s">
        <v>1268</v>
      </c>
      <c r="K152" s="53"/>
      <c r="L152" s="53"/>
      <c r="M152" s="60" t="s">
        <v>1269</v>
      </c>
      <c r="N152" s="61"/>
      <c r="O152" s="61"/>
      <c r="P152" s="18" t="s">
        <v>684</v>
      </c>
      <c r="Q152" s="62"/>
      <c r="R152" s="62"/>
      <c r="S152" s="26" t="s">
        <v>121</v>
      </c>
      <c r="T152" s="63" t="s">
        <v>1270</v>
      </c>
      <c r="U152" s="55"/>
      <c r="V152" s="55"/>
      <c r="W152" s="64"/>
      <c r="X152" s="65"/>
      <c r="Y152" s="66">
        <v>8250</v>
      </c>
      <c r="Z152" s="55"/>
      <c r="AA152" s="56"/>
    </row>
    <row r="153" spans="1:27">
      <c r="A153" s="44" t="s">
        <v>1257</v>
      </c>
      <c r="B153" s="52" t="s">
        <v>1271</v>
      </c>
      <c r="C153" s="53"/>
      <c r="D153" s="54">
        <v>10600</v>
      </c>
      <c r="E153" s="55"/>
      <c r="F153" s="56"/>
      <c r="G153" s="57" t="s">
        <v>121</v>
      </c>
      <c r="H153" s="58" t="s">
        <v>1259</v>
      </c>
      <c r="I153" s="59"/>
      <c r="J153" s="52" t="s">
        <v>1272</v>
      </c>
      <c r="K153" s="53"/>
      <c r="L153" s="53"/>
      <c r="M153" s="60" t="s">
        <v>1273</v>
      </c>
      <c r="N153" s="61"/>
      <c r="O153" s="61"/>
      <c r="P153" s="18" t="s">
        <v>684</v>
      </c>
      <c r="Q153" s="62"/>
      <c r="R153" s="62"/>
      <c r="S153" s="26" t="s">
        <v>121</v>
      </c>
      <c r="T153" s="63" t="s">
        <v>1274</v>
      </c>
      <c r="U153" s="55"/>
      <c r="V153" s="55"/>
      <c r="W153" s="64"/>
      <c r="X153" s="65"/>
      <c r="Y153" s="66">
        <v>10600</v>
      </c>
      <c r="Z153" s="55"/>
      <c r="AA153" s="56"/>
    </row>
    <row r="154" spans="1:27">
      <c r="A154" s="44" t="s">
        <v>1257</v>
      </c>
      <c r="B154" s="52" t="s">
        <v>1275</v>
      </c>
      <c r="C154" s="53"/>
      <c r="D154" s="54">
        <v>16650</v>
      </c>
      <c r="E154" s="55"/>
      <c r="F154" s="56"/>
      <c r="G154" s="57" t="s">
        <v>121</v>
      </c>
      <c r="H154" s="58" t="s">
        <v>1259</v>
      </c>
      <c r="I154" s="59"/>
      <c r="J154" s="52" t="s">
        <v>1276</v>
      </c>
      <c r="K154" s="53"/>
      <c r="L154" s="53"/>
      <c r="M154" s="60" t="s">
        <v>1277</v>
      </c>
      <c r="N154" s="61"/>
      <c r="O154" s="61"/>
      <c r="P154" s="18" t="s">
        <v>684</v>
      </c>
      <c r="Q154" s="62"/>
      <c r="R154" s="62"/>
      <c r="S154" s="26" t="s">
        <v>121</v>
      </c>
      <c r="T154" s="63" t="s">
        <v>1278</v>
      </c>
      <c r="U154" s="55"/>
      <c r="V154" s="55"/>
      <c r="W154" s="64"/>
      <c r="X154" s="65"/>
      <c r="Y154" s="66">
        <v>16650</v>
      </c>
      <c r="Z154" s="55"/>
      <c r="AA154" s="56"/>
    </row>
    <row r="155" spans="1:27">
      <c r="A155" s="44" t="s">
        <v>1257</v>
      </c>
      <c r="B155" s="52" t="s">
        <v>1279</v>
      </c>
      <c r="C155" s="53"/>
      <c r="D155" s="54">
        <v>790</v>
      </c>
      <c r="E155" s="55"/>
      <c r="F155" s="56"/>
      <c r="G155" s="57" t="s">
        <v>121</v>
      </c>
      <c r="H155" s="58" t="s">
        <v>1280</v>
      </c>
      <c r="I155" s="59"/>
      <c r="J155" s="52" t="s">
        <v>1281</v>
      </c>
      <c r="K155" s="53"/>
      <c r="L155" s="53"/>
      <c r="M155" s="60" t="s">
        <v>1282</v>
      </c>
      <c r="N155" s="61"/>
      <c r="O155" s="61"/>
      <c r="P155" s="18" t="s">
        <v>684</v>
      </c>
      <c r="Q155" s="62"/>
      <c r="R155" s="62"/>
      <c r="S155" s="26" t="s">
        <v>121</v>
      </c>
      <c r="T155" s="55"/>
      <c r="U155" s="55"/>
      <c r="V155" s="55"/>
      <c r="W155" s="64"/>
      <c r="X155" s="65"/>
      <c r="Y155" s="66">
        <v>790</v>
      </c>
      <c r="Z155" s="55"/>
      <c r="AA155" s="56"/>
    </row>
    <row r="156" spans="1:27">
      <c r="A156" s="44" t="s">
        <v>1257</v>
      </c>
      <c r="B156" s="52" t="s">
        <v>1283</v>
      </c>
      <c r="C156" s="53"/>
      <c r="D156" s="54">
        <v>1210</v>
      </c>
      <c r="E156" s="55"/>
      <c r="F156" s="56"/>
      <c r="G156" s="57" t="s">
        <v>121</v>
      </c>
      <c r="H156" s="58" t="s">
        <v>1280</v>
      </c>
      <c r="I156" s="59"/>
      <c r="J156" s="52" t="s">
        <v>1284</v>
      </c>
      <c r="K156" s="53"/>
      <c r="L156" s="53"/>
      <c r="M156" s="60" t="s">
        <v>1285</v>
      </c>
      <c r="N156" s="61"/>
      <c r="O156" s="61"/>
      <c r="P156" s="18" t="s">
        <v>684</v>
      </c>
      <c r="Q156" s="62"/>
      <c r="R156" s="62"/>
      <c r="S156" s="26" t="s">
        <v>121</v>
      </c>
      <c r="T156" s="55"/>
      <c r="U156" s="55"/>
      <c r="V156" s="55"/>
      <c r="W156" s="64"/>
      <c r="X156" s="65"/>
      <c r="Y156" s="66">
        <v>1210</v>
      </c>
      <c r="Z156" s="55"/>
      <c r="AA156" s="56"/>
    </row>
    <row r="157" spans="1:27">
      <c r="A157" s="44" t="s">
        <v>1257</v>
      </c>
      <c r="B157" s="52" t="s">
        <v>1286</v>
      </c>
      <c r="C157" s="53"/>
      <c r="D157" s="54">
        <v>2190</v>
      </c>
      <c r="E157" s="55"/>
      <c r="F157" s="56"/>
      <c r="G157" s="57" t="s">
        <v>121</v>
      </c>
      <c r="H157" s="58" t="s">
        <v>1280</v>
      </c>
      <c r="I157" s="59"/>
      <c r="J157" s="52" t="s">
        <v>1287</v>
      </c>
      <c r="K157" s="53"/>
      <c r="L157" s="53"/>
      <c r="M157" s="60" t="s">
        <v>1288</v>
      </c>
      <c r="N157" s="61"/>
      <c r="O157" s="61"/>
      <c r="P157" s="18" t="s">
        <v>684</v>
      </c>
      <c r="Q157" s="62"/>
      <c r="R157" s="62"/>
      <c r="S157" s="26" t="s">
        <v>121</v>
      </c>
      <c r="T157" s="55"/>
      <c r="U157" s="55"/>
      <c r="V157" s="55"/>
      <c r="W157" s="64"/>
      <c r="X157" s="65"/>
      <c r="Y157" s="66">
        <v>2190</v>
      </c>
      <c r="Z157" s="55"/>
      <c r="AA157" s="56"/>
    </row>
    <row r="158" spans="1:27">
      <c r="A158" s="44" t="s">
        <v>1257</v>
      </c>
      <c r="B158" s="52" t="s">
        <v>1289</v>
      </c>
      <c r="C158" s="53"/>
      <c r="D158" s="54">
        <v>2500</v>
      </c>
      <c r="E158" s="55"/>
      <c r="F158" s="56"/>
      <c r="G158" s="57" t="s">
        <v>121</v>
      </c>
      <c r="H158" s="58" t="s">
        <v>1290</v>
      </c>
      <c r="I158" s="59"/>
      <c r="J158" s="52" t="s">
        <v>1291</v>
      </c>
      <c r="K158" s="53"/>
      <c r="L158" s="53"/>
      <c r="M158" s="60" t="s">
        <v>1292</v>
      </c>
      <c r="N158" s="61"/>
      <c r="O158" s="61"/>
      <c r="P158" s="18" t="s">
        <v>684</v>
      </c>
      <c r="Q158" s="62"/>
      <c r="R158" s="62"/>
      <c r="S158" s="26" t="s">
        <v>121</v>
      </c>
      <c r="T158" s="67" t="s">
        <v>1293</v>
      </c>
      <c r="U158" s="55"/>
      <c r="V158" s="55"/>
      <c r="W158" s="64"/>
      <c r="X158" s="65"/>
      <c r="Y158" s="66">
        <v>2500</v>
      </c>
      <c r="Z158" s="55"/>
      <c r="AA158" s="56"/>
    </row>
    <row r="159" spans="1:27">
      <c r="A159" s="51" t="s">
        <v>1294</v>
      </c>
      <c r="B159" s="16" t="s">
        <v>1295</v>
      </c>
      <c r="C159" s="16" t="s">
        <v>1295</v>
      </c>
      <c r="D159" s="9">
        <v>2295</v>
      </c>
      <c r="E159" s="9">
        <v>59</v>
      </c>
      <c r="F159" s="9">
        <v>270</v>
      </c>
      <c r="G159" s="28" t="s">
        <v>121</v>
      </c>
      <c r="H159" s="31" t="s">
        <v>121</v>
      </c>
      <c r="I159" s="20"/>
      <c r="J159" s="16" t="s">
        <v>1296</v>
      </c>
      <c r="K159" s="16"/>
      <c r="L159" s="16"/>
      <c r="M159" s="32" t="s">
        <v>1297</v>
      </c>
      <c r="N159" s="17"/>
      <c r="O159" s="17"/>
      <c r="P159" s="18" t="s">
        <v>684</v>
      </c>
      <c r="Q159" s="18" t="s">
        <v>685</v>
      </c>
      <c r="R159" s="18" t="s">
        <v>686</v>
      </c>
      <c r="S159" s="26">
        <v>4</v>
      </c>
      <c r="T159" s="9"/>
      <c r="U159" s="9"/>
      <c r="V159" s="9"/>
      <c r="W159" s="26"/>
      <c r="X159" s="40"/>
      <c r="Y159" s="23">
        <v>2295</v>
      </c>
      <c r="Z159" s="9">
        <v>59</v>
      </c>
      <c r="AA159" s="9">
        <v>270</v>
      </c>
    </row>
    <row r="160" spans="1:27">
      <c r="A160" s="51" t="s">
        <v>1294</v>
      </c>
      <c r="B160" s="16" t="s">
        <v>1298</v>
      </c>
      <c r="C160" s="16" t="s">
        <v>1298</v>
      </c>
      <c r="D160" s="9">
        <v>2295</v>
      </c>
      <c r="E160" s="9">
        <v>59</v>
      </c>
      <c r="F160" s="9">
        <v>270</v>
      </c>
      <c r="G160" s="28" t="s">
        <v>121</v>
      </c>
      <c r="H160" s="31" t="s">
        <v>121</v>
      </c>
      <c r="I160" s="20"/>
      <c r="J160" s="16" t="s">
        <v>1296</v>
      </c>
      <c r="K160" s="16"/>
      <c r="L160" s="16"/>
      <c r="M160" s="32" t="s">
        <v>1297</v>
      </c>
      <c r="N160" s="17"/>
      <c r="O160" s="17"/>
      <c r="P160" s="18" t="s">
        <v>684</v>
      </c>
      <c r="Q160" s="18" t="s">
        <v>685</v>
      </c>
      <c r="R160" s="18" t="s">
        <v>686</v>
      </c>
      <c r="S160" s="26">
        <v>4</v>
      </c>
      <c r="T160" s="9"/>
      <c r="U160" s="9"/>
      <c r="V160" s="9"/>
      <c r="W160" s="26"/>
      <c r="X160" s="40"/>
      <c r="Y160" s="23">
        <v>2295</v>
      </c>
      <c r="Z160" s="9">
        <v>59</v>
      </c>
      <c r="AA160" s="9">
        <v>270</v>
      </c>
    </row>
    <row r="161" spans="1:27">
      <c r="A161" s="51" t="s">
        <v>1294</v>
      </c>
      <c r="B161" s="16" t="s">
        <v>1299</v>
      </c>
      <c r="C161" s="16" t="s">
        <v>1299</v>
      </c>
      <c r="D161" s="9">
        <v>2295</v>
      </c>
      <c r="E161" s="9">
        <v>59</v>
      </c>
      <c r="F161" s="9">
        <v>270</v>
      </c>
      <c r="G161" s="28" t="s">
        <v>121</v>
      </c>
      <c r="H161" s="31" t="s">
        <v>121</v>
      </c>
      <c r="I161" s="20"/>
      <c r="J161" s="16" t="s">
        <v>1296</v>
      </c>
      <c r="K161" s="16"/>
      <c r="L161" s="16"/>
      <c r="M161" s="32" t="s">
        <v>1297</v>
      </c>
      <c r="N161" s="17"/>
      <c r="O161" s="17"/>
      <c r="P161" s="18" t="s">
        <v>684</v>
      </c>
      <c r="Q161" s="18" t="s">
        <v>685</v>
      </c>
      <c r="R161" s="18" t="s">
        <v>686</v>
      </c>
      <c r="S161" s="26">
        <v>4</v>
      </c>
      <c r="T161" s="9"/>
      <c r="U161" s="9"/>
      <c r="V161" s="9"/>
      <c r="W161" s="26"/>
      <c r="X161" s="40"/>
      <c r="Y161" s="23">
        <v>2295</v>
      </c>
      <c r="Z161" s="9">
        <v>59</v>
      </c>
      <c r="AA161" s="9">
        <v>270</v>
      </c>
    </row>
    <row r="162" spans="1:27">
      <c r="A162" s="51" t="s">
        <v>1294</v>
      </c>
      <c r="B162" s="16" t="s">
        <v>1300</v>
      </c>
      <c r="C162" s="16" t="s">
        <v>1300</v>
      </c>
      <c r="D162" s="9">
        <v>2295</v>
      </c>
      <c r="E162" s="9">
        <v>59</v>
      </c>
      <c r="F162" s="9">
        <v>270</v>
      </c>
      <c r="G162" s="28" t="s">
        <v>121</v>
      </c>
      <c r="H162" s="31" t="s">
        <v>121</v>
      </c>
      <c r="I162" s="20"/>
      <c r="J162" s="16" t="s">
        <v>1296</v>
      </c>
      <c r="K162" s="16"/>
      <c r="L162" s="16"/>
      <c r="M162" s="32" t="s">
        <v>1297</v>
      </c>
      <c r="N162" s="17"/>
      <c r="O162" s="17"/>
      <c r="P162" s="18" t="s">
        <v>684</v>
      </c>
      <c r="Q162" s="18" t="s">
        <v>685</v>
      </c>
      <c r="R162" s="18" t="s">
        <v>686</v>
      </c>
      <c r="S162" s="26">
        <v>4</v>
      </c>
      <c r="T162" s="9"/>
      <c r="U162" s="9"/>
      <c r="V162" s="9"/>
      <c r="W162" s="26"/>
      <c r="X162" s="40"/>
      <c r="Y162" s="23">
        <v>2295</v>
      </c>
      <c r="Z162" s="9">
        <v>59</v>
      </c>
      <c r="AA162" s="9">
        <v>270</v>
      </c>
    </row>
    <row r="163" spans="1:27">
      <c r="A163" s="17" t="s">
        <v>1301</v>
      </c>
      <c r="B163" s="16" t="s">
        <v>1302</v>
      </c>
      <c r="C163" s="17" t="s">
        <v>1303</v>
      </c>
      <c r="D163" s="21" t="s">
        <v>566</v>
      </c>
      <c r="E163" s="21" t="s">
        <v>567</v>
      </c>
      <c r="F163" s="21" t="s">
        <v>568</v>
      </c>
      <c r="G163" s="28" t="s">
        <v>121</v>
      </c>
      <c r="H163" s="19" t="s">
        <v>121</v>
      </c>
      <c r="I163" s="20" t="s">
        <v>121</v>
      </c>
      <c r="J163" s="17" t="s">
        <v>1304</v>
      </c>
      <c r="K163" s="17" t="s">
        <v>1305</v>
      </c>
      <c r="L163" s="17" t="s">
        <v>1306</v>
      </c>
      <c r="M163" s="17" t="s">
        <v>1307</v>
      </c>
      <c r="N163" s="17"/>
      <c r="O163" s="17"/>
      <c r="P163" s="28" t="s">
        <v>632</v>
      </c>
      <c r="Q163" s="18" t="s">
        <v>633</v>
      </c>
      <c r="R163" s="18" t="s">
        <v>634</v>
      </c>
      <c r="S163" s="20" t="s">
        <v>121</v>
      </c>
      <c r="T163" s="21" t="s">
        <v>121</v>
      </c>
      <c r="U163" s="21" t="s">
        <v>121</v>
      </c>
      <c r="V163" s="21" t="s">
        <v>121</v>
      </c>
      <c r="W163" s="20" t="s">
        <v>1308</v>
      </c>
      <c r="X163" s="22" t="s">
        <v>1309</v>
      </c>
      <c r="Y163" s="33" t="s">
        <v>566</v>
      </c>
      <c r="Z163" s="21" t="s">
        <v>567</v>
      </c>
      <c r="AA163" s="21" t="s">
        <v>568</v>
      </c>
    </row>
    <row r="164" spans="1:27">
      <c r="A164" s="17" t="s">
        <v>1301</v>
      </c>
      <c r="B164" s="16" t="s">
        <v>1310</v>
      </c>
      <c r="C164" s="17" t="s">
        <v>1311</v>
      </c>
      <c r="D164" s="21" t="s">
        <v>566</v>
      </c>
      <c r="E164" s="21" t="s">
        <v>567</v>
      </c>
      <c r="F164" s="21" t="s">
        <v>568</v>
      </c>
      <c r="G164" s="18" t="s">
        <v>121</v>
      </c>
      <c r="H164" s="19"/>
      <c r="I164" s="20" t="s">
        <v>121</v>
      </c>
      <c r="J164" s="17" t="s">
        <v>1312</v>
      </c>
      <c r="K164" s="17" t="s">
        <v>1313</v>
      </c>
      <c r="L164" s="17" t="s">
        <v>1314</v>
      </c>
      <c r="M164" s="17" t="s">
        <v>1315</v>
      </c>
      <c r="N164" s="17"/>
      <c r="O164" s="17"/>
      <c r="P164" s="28" t="s">
        <v>632</v>
      </c>
      <c r="Q164" s="18" t="s">
        <v>633</v>
      </c>
      <c r="R164" s="18" t="s">
        <v>634</v>
      </c>
      <c r="S164" s="20" t="s">
        <v>121</v>
      </c>
      <c r="T164" s="21" t="s">
        <v>121</v>
      </c>
      <c r="U164" s="21" t="s">
        <v>121</v>
      </c>
      <c r="V164" s="21" t="s">
        <v>121</v>
      </c>
      <c r="W164" s="20" t="s">
        <v>1308</v>
      </c>
      <c r="X164" s="22" t="s">
        <v>1309</v>
      </c>
      <c r="Y164" s="33" t="s">
        <v>566</v>
      </c>
      <c r="Z164" s="21" t="s">
        <v>567</v>
      </c>
      <c r="AA164" s="21" t="s">
        <v>568</v>
      </c>
    </row>
    <row r="165" spans="1:27">
      <c r="A165" s="17" t="s">
        <v>1301</v>
      </c>
      <c r="B165" s="16" t="s">
        <v>1316</v>
      </c>
      <c r="C165" s="17" t="s">
        <v>1317</v>
      </c>
      <c r="D165" s="21" t="s">
        <v>566</v>
      </c>
      <c r="E165" s="21" t="s">
        <v>567</v>
      </c>
      <c r="F165" s="21" t="s">
        <v>568</v>
      </c>
      <c r="G165" s="18" t="s">
        <v>121</v>
      </c>
      <c r="H165" s="39"/>
      <c r="I165" s="20" t="s">
        <v>121</v>
      </c>
      <c r="J165" s="17" t="s">
        <v>1318</v>
      </c>
      <c r="K165" s="17" t="s">
        <v>1319</v>
      </c>
      <c r="L165" s="17" t="s">
        <v>1320</v>
      </c>
      <c r="M165" s="27" t="s">
        <v>1321</v>
      </c>
      <c r="N165" s="17"/>
      <c r="O165" s="17"/>
      <c r="P165" s="28" t="s">
        <v>632</v>
      </c>
      <c r="Q165" s="18" t="s">
        <v>633</v>
      </c>
      <c r="R165" s="18" t="s">
        <v>634</v>
      </c>
      <c r="S165" s="20" t="s">
        <v>121</v>
      </c>
      <c r="T165" s="21" t="s">
        <v>121</v>
      </c>
      <c r="U165" s="21" t="s">
        <v>121</v>
      </c>
      <c r="V165" s="21" t="s">
        <v>121</v>
      </c>
      <c r="W165" s="20" t="s">
        <v>1308</v>
      </c>
      <c r="X165" s="22" t="s">
        <v>1309</v>
      </c>
      <c r="Y165" s="33" t="s">
        <v>566</v>
      </c>
      <c r="Z165" s="21" t="s">
        <v>567</v>
      </c>
      <c r="AA165" s="21" t="s">
        <v>568</v>
      </c>
    </row>
    <row r="166" spans="1:27">
      <c r="A166" s="17" t="s">
        <v>1301</v>
      </c>
      <c r="B166" s="16" t="s">
        <v>1322</v>
      </c>
      <c r="C166" s="17" t="s">
        <v>1323</v>
      </c>
      <c r="D166" s="21" t="s">
        <v>566</v>
      </c>
      <c r="E166" s="21" t="s">
        <v>567</v>
      </c>
      <c r="F166" s="21" t="s">
        <v>568</v>
      </c>
      <c r="G166" s="18" t="s">
        <v>121</v>
      </c>
      <c r="H166" s="19"/>
      <c r="I166" s="20" t="s">
        <v>121</v>
      </c>
      <c r="J166" s="17" t="s">
        <v>1324</v>
      </c>
      <c r="K166" s="17" t="s">
        <v>1325</v>
      </c>
      <c r="L166" s="17" t="s">
        <v>1326</v>
      </c>
      <c r="M166" s="17" t="s">
        <v>1327</v>
      </c>
      <c r="N166" s="17"/>
      <c r="O166" s="17"/>
      <c r="P166" s="28" t="s">
        <v>632</v>
      </c>
      <c r="Q166" s="18" t="s">
        <v>633</v>
      </c>
      <c r="R166" s="18" t="s">
        <v>634</v>
      </c>
      <c r="S166" s="20" t="s">
        <v>121</v>
      </c>
      <c r="T166" s="21" t="s">
        <v>121</v>
      </c>
      <c r="U166" s="21" t="s">
        <v>121</v>
      </c>
      <c r="V166" s="21" t="s">
        <v>121</v>
      </c>
      <c r="W166" s="20" t="s">
        <v>1308</v>
      </c>
      <c r="X166" s="22" t="s">
        <v>1309</v>
      </c>
      <c r="Y166" s="33" t="s">
        <v>566</v>
      </c>
      <c r="Z166" s="21" t="s">
        <v>567</v>
      </c>
      <c r="AA166" s="21" t="s">
        <v>568</v>
      </c>
    </row>
    <row r="167" spans="1:27">
      <c r="A167" s="17" t="s">
        <v>1301</v>
      </c>
      <c r="B167" s="16" t="s">
        <v>1328</v>
      </c>
      <c r="C167" s="17" t="s">
        <v>1329</v>
      </c>
      <c r="D167" s="21" t="s">
        <v>566</v>
      </c>
      <c r="E167" s="21" t="s">
        <v>567</v>
      </c>
      <c r="F167" s="21" t="s">
        <v>568</v>
      </c>
      <c r="G167" s="18" t="s">
        <v>121</v>
      </c>
      <c r="H167" s="19" t="s">
        <v>121</v>
      </c>
      <c r="I167" s="20" t="s">
        <v>121</v>
      </c>
      <c r="J167" s="17" t="s">
        <v>1330</v>
      </c>
      <c r="K167" s="17" t="s">
        <v>1331</v>
      </c>
      <c r="L167" s="17" t="s">
        <v>1332</v>
      </c>
      <c r="M167" s="17" t="s">
        <v>1333</v>
      </c>
      <c r="N167" s="17"/>
      <c r="O167" s="17"/>
      <c r="P167" s="28" t="s">
        <v>632</v>
      </c>
      <c r="Q167" s="18" t="s">
        <v>633</v>
      </c>
      <c r="R167" s="18" t="s">
        <v>634</v>
      </c>
      <c r="S167" s="20" t="s">
        <v>121</v>
      </c>
      <c r="T167" s="21" t="s">
        <v>121</v>
      </c>
      <c r="U167" s="21" t="s">
        <v>121</v>
      </c>
      <c r="V167" s="21" t="s">
        <v>121</v>
      </c>
      <c r="W167" s="20" t="s">
        <v>1308</v>
      </c>
      <c r="X167" s="22" t="s">
        <v>1309</v>
      </c>
      <c r="Y167" s="33" t="s">
        <v>566</v>
      </c>
      <c r="Z167" s="21" t="s">
        <v>567</v>
      </c>
      <c r="AA167" s="21" t="s">
        <v>568</v>
      </c>
    </row>
    <row r="168" spans="1:27">
      <c r="A168" s="17" t="s">
        <v>1301</v>
      </c>
      <c r="B168" s="16" t="s">
        <v>1334</v>
      </c>
      <c r="C168" s="17" t="s">
        <v>1335</v>
      </c>
      <c r="D168" s="21" t="s">
        <v>566</v>
      </c>
      <c r="E168" s="21" t="s">
        <v>567</v>
      </c>
      <c r="F168" s="21" t="s">
        <v>568</v>
      </c>
      <c r="G168" s="18" t="s">
        <v>121</v>
      </c>
      <c r="H168" s="19"/>
      <c r="I168" s="20" t="s">
        <v>121</v>
      </c>
      <c r="J168" s="17" t="s">
        <v>1336</v>
      </c>
      <c r="K168" s="17" t="s">
        <v>1337</v>
      </c>
      <c r="L168" s="17" t="s">
        <v>1338</v>
      </c>
      <c r="M168" s="17" t="s">
        <v>1339</v>
      </c>
      <c r="N168" s="17"/>
      <c r="O168" s="17"/>
      <c r="P168" s="28" t="s">
        <v>632</v>
      </c>
      <c r="Q168" s="18" t="s">
        <v>633</v>
      </c>
      <c r="R168" s="18" t="s">
        <v>634</v>
      </c>
      <c r="S168" s="20" t="s">
        <v>121</v>
      </c>
      <c r="T168" s="21" t="s">
        <v>121</v>
      </c>
      <c r="U168" s="21" t="s">
        <v>121</v>
      </c>
      <c r="V168" s="21" t="s">
        <v>121</v>
      </c>
      <c r="W168" s="20" t="s">
        <v>1308</v>
      </c>
      <c r="X168" s="22" t="s">
        <v>1309</v>
      </c>
      <c r="Y168" s="33" t="s">
        <v>566</v>
      </c>
      <c r="Z168" s="21" t="s">
        <v>567</v>
      </c>
      <c r="AA168" s="21" t="s">
        <v>568</v>
      </c>
    </row>
    <row r="169" spans="1:27">
      <c r="A169" s="17" t="s">
        <v>1301</v>
      </c>
      <c r="B169" s="16" t="s">
        <v>1340</v>
      </c>
      <c r="C169" s="17" t="s">
        <v>1341</v>
      </c>
      <c r="D169" s="21" t="s">
        <v>566</v>
      </c>
      <c r="E169" s="21" t="s">
        <v>567</v>
      </c>
      <c r="F169" s="21" t="s">
        <v>568</v>
      </c>
      <c r="G169" s="18" t="s">
        <v>121</v>
      </c>
      <c r="H169" s="19"/>
      <c r="I169" s="20" t="s">
        <v>121</v>
      </c>
      <c r="J169" s="17" t="s">
        <v>1342</v>
      </c>
      <c r="K169" s="17" t="s">
        <v>1343</v>
      </c>
      <c r="L169" s="17" t="s">
        <v>1344</v>
      </c>
      <c r="M169" s="17" t="s">
        <v>1345</v>
      </c>
      <c r="N169" s="17"/>
      <c r="O169" s="17"/>
      <c r="P169" s="28" t="s">
        <v>632</v>
      </c>
      <c r="Q169" s="18" t="s">
        <v>633</v>
      </c>
      <c r="R169" s="18" t="s">
        <v>634</v>
      </c>
      <c r="S169" s="20" t="s">
        <v>121</v>
      </c>
      <c r="T169" s="21" t="s">
        <v>121</v>
      </c>
      <c r="U169" s="21" t="s">
        <v>121</v>
      </c>
      <c r="V169" s="21" t="s">
        <v>121</v>
      </c>
      <c r="W169" s="20" t="s">
        <v>1308</v>
      </c>
      <c r="X169" s="22" t="s">
        <v>1309</v>
      </c>
      <c r="Y169" s="33" t="s">
        <v>566</v>
      </c>
      <c r="Z169" s="21" t="s">
        <v>567</v>
      </c>
      <c r="AA169" s="21" t="s">
        <v>568</v>
      </c>
    </row>
    <row r="170" spans="1:27">
      <c r="A170" s="17" t="s">
        <v>1301</v>
      </c>
      <c r="B170" s="16" t="s">
        <v>1346</v>
      </c>
      <c r="C170" s="17" t="s">
        <v>1347</v>
      </c>
      <c r="D170" s="21" t="s">
        <v>566</v>
      </c>
      <c r="E170" s="21" t="s">
        <v>567</v>
      </c>
      <c r="F170" s="21" t="s">
        <v>568</v>
      </c>
      <c r="G170" s="18" t="s">
        <v>121</v>
      </c>
      <c r="H170" s="19" t="s">
        <v>121</v>
      </c>
      <c r="I170" s="20" t="s">
        <v>121</v>
      </c>
      <c r="J170" s="17" t="s">
        <v>1348</v>
      </c>
      <c r="K170" s="17" t="s">
        <v>1349</v>
      </c>
      <c r="L170" s="17" t="s">
        <v>1350</v>
      </c>
      <c r="M170" s="17" t="s">
        <v>1351</v>
      </c>
      <c r="N170" s="17"/>
      <c r="O170" s="17"/>
      <c r="P170" s="28" t="s">
        <v>632</v>
      </c>
      <c r="Q170" s="18" t="s">
        <v>633</v>
      </c>
      <c r="R170" s="18" t="s">
        <v>634</v>
      </c>
      <c r="S170" s="20" t="s">
        <v>121</v>
      </c>
      <c r="T170" s="21" t="s">
        <v>121</v>
      </c>
      <c r="U170" s="21" t="s">
        <v>121</v>
      </c>
      <c r="V170" s="21" t="s">
        <v>121</v>
      </c>
      <c r="W170" s="20" t="s">
        <v>1308</v>
      </c>
      <c r="X170" s="22" t="s">
        <v>1309</v>
      </c>
      <c r="Y170" s="33" t="s">
        <v>566</v>
      </c>
      <c r="Z170" s="21" t="s">
        <v>567</v>
      </c>
      <c r="AA170" s="21" t="s">
        <v>568</v>
      </c>
    </row>
    <row r="171" spans="1:27">
      <c r="A171" s="17" t="s">
        <v>1301</v>
      </c>
      <c r="B171" s="16" t="s">
        <v>1352</v>
      </c>
      <c r="C171" s="17" t="s">
        <v>1353</v>
      </c>
      <c r="D171" s="21" t="s">
        <v>566</v>
      </c>
      <c r="E171" s="21" t="s">
        <v>567</v>
      </c>
      <c r="F171" s="21" t="s">
        <v>568</v>
      </c>
      <c r="G171" s="18" t="s">
        <v>121</v>
      </c>
      <c r="H171" s="19"/>
      <c r="I171" s="20" t="s">
        <v>121</v>
      </c>
      <c r="J171" s="17" t="s">
        <v>1354</v>
      </c>
      <c r="K171" s="17" t="s">
        <v>1355</v>
      </c>
      <c r="L171" s="17" t="s">
        <v>1356</v>
      </c>
      <c r="M171" s="17" t="s">
        <v>1357</v>
      </c>
      <c r="N171" s="17"/>
      <c r="O171" s="17"/>
      <c r="P171" s="28" t="s">
        <v>632</v>
      </c>
      <c r="Q171" s="18" t="s">
        <v>633</v>
      </c>
      <c r="R171" s="18" t="s">
        <v>634</v>
      </c>
      <c r="S171" s="20" t="s">
        <v>121</v>
      </c>
      <c r="T171" s="21" t="s">
        <v>121</v>
      </c>
      <c r="U171" s="21" t="s">
        <v>121</v>
      </c>
      <c r="V171" s="21" t="s">
        <v>121</v>
      </c>
      <c r="W171" s="20" t="s">
        <v>1308</v>
      </c>
      <c r="X171" s="22" t="s">
        <v>1309</v>
      </c>
      <c r="Y171" s="33" t="s">
        <v>566</v>
      </c>
      <c r="Z171" s="21" t="s">
        <v>567</v>
      </c>
      <c r="AA171" s="21" t="s">
        <v>568</v>
      </c>
    </row>
    <row r="172" spans="1:27">
      <c r="A172" s="17" t="s">
        <v>1301</v>
      </c>
      <c r="B172" s="16" t="s">
        <v>1358</v>
      </c>
      <c r="C172" s="17" t="s">
        <v>1359</v>
      </c>
      <c r="D172" s="21" t="s">
        <v>566</v>
      </c>
      <c r="E172" s="21" t="s">
        <v>567</v>
      </c>
      <c r="F172" s="21" t="s">
        <v>568</v>
      </c>
      <c r="G172" s="18" t="s">
        <v>121</v>
      </c>
      <c r="H172" s="19"/>
      <c r="I172" s="20" t="s">
        <v>121</v>
      </c>
      <c r="J172" s="17" t="s">
        <v>1360</v>
      </c>
      <c r="K172" s="17" t="s">
        <v>1361</v>
      </c>
      <c r="L172" s="17" t="s">
        <v>1362</v>
      </c>
      <c r="M172" s="17" t="s">
        <v>1363</v>
      </c>
      <c r="N172" s="17"/>
      <c r="O172" s="17"/>
      <c r="P172" s="28" t="s">
        <v>632</v>
      </c>
      <c r="Q172" s="18" t="s">
        <v>633</v>
      </c>
      <c r="R172" s="18" t="s">
        <v>634</v>
      </c>
      <c r="S172" s="20" t="s">
        <v>121</v>
      </c>
      <c r="T172" s="21" t="s">
        <v>121</v>
      </c>
      <c r="U172" s="21" t="s">
        <v>121</v>
      </c>
      <c r="V172" s="21" t="s">
        <v>121</v>
      </c>
      <c r="W172" s="20" t="s">
        <v>1308</v>
      </c>
      <c r="X172" s="22" t="s">
        <v>1309</v>
      </c>
      <c r="Y172" s="33" t="s">
        <v>566</v>
      </c>
      <c r="Z172" s="21" t="s">
        <v>567</v>
      </c>
      <c r="AA172" s="21" t="s">
        <v>568</v>
      </c>
    </row>
  </sheetData>
  <conditionalFormatting sqref="G2:G172">
    <cfRule type="expression" dxfId="9" priority="1">
      <formula>AND(COUNTIF($G$2:$G172, G2)&gt;1, G2&lt;&gt;"-")</formula>
    </cfRule>
  </conditionalFormatting>
  <conditionalFormatting sqref="B2:B172 C146:C162">
    <cfRule type="expression" dxfId="8" priority="2">
      <formula>COUNTIF($B$2:$B172, B2)&gt;1</formula>
    </cfRule>
  </conditionalFormatting>
  <conditionalFormatting sqref="C2:C172 B32">
    <cfRule type="expression" dxfId="7" priority="3">
      <formula>COUNTIF($C$2:$C172, C2)&gt;1</formula>
    </cfRule>
  </conditionalFormatting>
  <conditionalFormatting sqref="G1:G172">
    <cfRule type="containsBlanks" dxfId="6" priority="4">
      <formula>LEN(TRIM(G1))=0</formula>
    </cfRule>
  </conditionalFormatting>
  <hyperlinks>
    <hyperlink ref="M4" r:id="rId1"/>
    <hyperlink ref="M5" r:id="rId2"/>
    <hyperlink ref="O13" r:id="rId3"/>
    <hyperlink ref="M18" r:id="rId4"/>
    <hyperlink ref="O19" r:id="rId5"/>
    <hyperlink ref="M21" r:id="rId6"/>
    <hyperlink ref="O32" r:id="rId7"/>
    <hyperlink ref="M66" r:id="rId8"/>
    <hyperlink ref="M67" r:id="rId9"/>
    <hyperlink ref="M68" r:id="rId10"/>
    <hyperlink ref="M69" r:id="rId11"/>
    <hyperlink ref="O77" r:id="rId12"/>
    <hyperlink ref="M87" r:id="rId13"/>
    <hyperlink ref="M120" r:id="rId14"/>
    <hyperlink ref="N120" r:id="rId15"/>
    <hyperlink ref="M149" r:id="rId16"/>
    <hyperlink ref="M150" r:id="rId17"/>
    <hyperlink ref="M151" r:id="rId18"/>
    <hyperlink ref="M152" r:id="rId19"/>
    <hyperlink ref="M153" r:id="rId20"/>
    <hyperlink ref="M154" r:id="rId21"/>
    <hyperlink ref="M155" r:id="rId22"/>
    <hyperlink ref="M156" r:id="rId23"/>
    <hyperlink ref="M157" r:id="rId24"/>
    <hyperlink ref="M158" r:id="rId25"/>
    <hyperlink ref="M159" r:id="rId26"/>
    <hyperlink ref="M160" r:id="rId27"/>
    <hyperlink ref="M161" r:id="rId28"/>
    <hyperlink ref="M162" r:id="rId29"/>
    <hyperlink ref="M165" r:id="rId30"/>
  </hyperlinks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3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0"/>
  <sheetViews>
    <sheetView showGridLines="0" tabSelected="1" workbookViewId="0">
      <pane ySplit="2" topLeftCell="A3" activePane="bottomLeft" state="frozen"/>
      <selection pane="bottomLeft" sqref="A1:D1"/>
    </sheetView>
  </sheetViews>
  <sheetFormatPr defaultColWidth="14.44140625" defaultRowHeight="15" customHeight="1"/>
  <cols>
    <col min="1" max="1" width="50.6640625" customWidth="1"/>
    <col min="2" max="3" width="16" customWidth="1"/>
    <col min="4" max="4" width="76.5546875" customWidth="1"/>
    <col min="5" max="5" width="13.88671875" customWidth="1"/>
    <col min="6" max="6" width="10.88671875" customWidth="1"/>
    <col min="7" max="7" width="23.33203125" customWidth="1"/>
    <col min="8" max="8" width="12.44140625" customWidth="1"/>
    <col min="9" max="9" width="15" customWidth="1"/>
    <col min="10" max="10" width="13.5546875" customWidth="1"/>
    <col min="11" max="12" width="15" hidden="1" customWidth="1"/>
  </cols>
  <sheetData>
    <row r="1" spans="1:12" ht="56.25" customHeight="1">
      <c r="A1" s="112" t="str">
        <f>HYPERLINK("https://novatek-electro.com/", "novatek-electro.com")</f>
        <v>novatek-electro.com</v>
      </c>
      <c r="B1" s="113"/>
      <c r="C1" s="113"/>
      <c r="D1" s="113"/>
      <c r="E1" s="114" t="s">
        <v>1364</v>
      </c>
      <c r="F1" s="113"/>
      <c r="G1" s="113"/>
      <c r="H1" s="115" t="s">
        <v>1365</v>
      </c>
      <c r="I1" s="113"/>
      <c r="J1" s="113"/>
      <c r="K1" s="68"/>
      <c r="L1" s="69"/>
    </row>
    <row r="2" spans="1:12" ht="24">
      <c r="A2" s="70" t="s">
        <v>1366</v>
      </c>
      <c r="B2" s="71" t="s">
        <v>1367</v>
      </c>
      <c r="C2" s="71" t="s">
        <v>1368</v>
      </c>
      <c r="D2" s="70" t="s">
        <v>1369</v>
      </c>
      <c r="E2" s="72" t="s">
        <v>1370</v>
      </c>
      <c r="F2" s="73" t="s">
        <v>18</v>
      </c>
      <c r="G2" s="71" t="s">
        <v>1371</v>
      </c>
      <c r="H2" s="72" t="s">
        <v>6</v>
      </c>
      <c r="I2" s="74" t="s">
        <v>8</v>
      </c>
      <c r="J2" s="75" t="s">
        <v>7</v>
      </c>
      <c r="K2" s="76"/>
      <c r="L2" s="77"/>
    </row>
    <row r="3" spans="1:12" ht="14.4">
      <c r="A3" s="78" t="str">
        <f ca="1">IFERROR(__xludf.DUMMYFUNCTION("iferror(IFERROR(
HYPERLINK(
  VLOOKUP(
    INDEX(UNIQUE(FLATTEN({'1C'!$A$2:A200,'1C'!$B$2:B200})), ROW(A1)), 
    '1C'!B:O, 12, 0),
  INDEX(UNIQUE(FLATTEN({'1C'!$A$2:A200,'1C'!$B$2:B200})), ROW(A1))),
MATCH(INDEX(UNIQUE(FLATTEN({'1C'!$A$2:A200,'1C'!$B$2:B"&amp;"200})), ROW(A1)), L$3:L200, 0)
),)"),"ТРИФАЗНІ РЕЛЕ НАПРУГИ (КОНТРОЛЮ ФАЗ)")</f>
        <v>ТРИФАЗНІ РЕЛЕ НАПРУГИ (КОНТРОЛЮ ФАЗ)</v>
      </c>
      <c r="B3" s="79"/>
      <c r="C3" s="79"/>
      <c r="D3" s="80">
        <f ca="1">IFERROR(
  VLOOKUP(A3, '1C'!B:J, 9, 0),)</f>
        <v>0</v>
      </c>
      <c r="E3" s="81">
        <f ca="1">IFERROR(
  VLOOKUP(A3, '1C'!B:Q, 15, 0),)</f>
        <v>0</v>
      </c>
      <c r="F3" s="82">
        <f ca="1">IFERROR(
  VLOOKUP(A3, '1C'!B:S, 18, 0),)</f>
        <v>0</v>
      </c>
      <c r="G3" s="83">
        <f ca="1">IFERROR(
  VLOOKUP(A3, '1C'!B:U, 19, 0),)</f>
        <v>0</v>
      </c>
      <c r="H3" s="81">
        <f ca="1">IFERROR(
  VLOOKUP(A3, '1C'!B:G, 6, 0),)</f>
        <v>0</v>
      </c>
      <c r="I3" s="84">
        <f ca="1">IFERROR( VLOOKUP(A3, '1C'!B:I, 8, 0),)</f>
        <v>0</v>
      </c>
      <c r="J3" s="85">
        <f ca="1">IFERROR(
  VLOOKUP(A3, '1C'!B:H, 7, 0),)</f>
        <v>0</v>
      </c>
      <c r="K3" s="86"/>
      <c r="L3" s="87" t="str">
        <f ca="1">IFERROR(__xludf.DUMMYFUNCTION("UNIQUE('1C'!A2:A200)"),"ТРИФАЗНІ РЕЛЕ НАПРУГИ (КОНТРОЛЮ ФАЗ)")</f>
        <v>ТРИФАЗНІ РЕЛЕ НАПРУГИ (КОНТРОЛЮ ФАЗ)</v>
      </c>
    </row>
    <row r="4" spans="1:12" ht="26.4">
      <c r="A4" s="88" t="str">
        <f ca="1">IFERROR(__xludf.DUMMYFUNCTION("iferror(IFERROR(
HYPERLINK(
  VLOOKUP(
    INDEX(UNIQUE(FLATTEN({'1C'!$A$2:A200,'1C'!$B$2:B200})), ROW(A2)), 
    '1C'!B:O, 12, 0),
  INDEX(UNIQUE(FLATTEN({'1C'!$A$2:A200,'1C'!$B$2:B200})), ROW(A2))),
MATCH(INDEX(UNIQUE(FLATTEN({'1C'!$A$2:A200,'1C'!$B$2:B"&amp;"200})), ROW(A2)), L$3:L200, 0)
),)"),"РНПП-301")</f>
        <v>РНПП-301</v>
      </c>
      <c r="B4" s="89">
        <f ca="1">IFERROR(
  VLOOKUP(A4, '1C'!B:D, 3, 0),)</f>
        <v>1310</v>
      </c>
      <c r="C4" s="89">
        <f ca="1">IFERROR(
  VLOOKUP(A4, '1C'!B:Y, 24, 0),)</f>
        <v>1310</v>
      </c>
      <c r="D4" s="80" t="str">
        <f ca="1">IFERROR(
  VLOOKUP(A4, '1C'!B:J, 9, 0),)</f>
        <v>Послідовності, перекосу та обриву фаз, контроль пускача, роздільні регулювання порогів напруги та перекосу фаз</v>
      </c>
      <c r="E4" s="81" t="str">
        <f ca="1">IFERROR(
  VLOOKUP(A4, '1C'!B:Q, 15, 0),)</f>
        <v>DIN</v>
      </c>
      <c r="F4" s="82">
        <f ca="1">IFERROR(
  VLOOKUP(A4, '1C'!B:S, 18, 0),)</f>
        <v>4</v>
      </c>
      <c r="G4" s="83" t="str">
        <f ca="1">IFERROR(
  VLOOKUP(A4, '1C'!B:U, 19, 0),)</f>
        <v>Пускач</v>
      </c>
      <c r="H4" s="81" t="str">
        <f ca="1">IFERROR(
  VLOOKUP(A4, '1C'!B:G, 6, 0),)</f>
        <v>NTRNP3010</v>
      </c>
      <c r="I4" s="90">
        <f ca="1">IFERROR( VLOOKUP(A4, '1C'!B:I, 8, 0),)</f>
        <v>4820122950412</v>
      </c>
      <c r="J4" s="91" t="str">
        <f ca="1">IFERROR(
  VLOOKUP(A4, '1C'!B:H, 7, 0),)</f>
        <v>8536 49 00 90</v>
      </c>
      <c r="K4" s="86"/>
      <c r="L4" s="92" t="str">
        <f ca="1">IFERROR(__xludf.DUMMYFUNCTION("""COMPUTED_VALUE"""),"ТАЙМЕРИ")</f>
        <v>ТАЙМЕРИ</v>
      </c>
    </row>
    <row r="5" spans="1:12" ht="26.4">
      <c r="A5" s="88" t="str">
        <f ca="1">IFERROR(__xludf.DUMMYFUNCTION("iferror(IFERROR(
HYPERLINK(
  VLOOKUP(
    INDEX(UNIQUE(FLATTEN({'1C'!$A$2:A200,'1C'!$B$2:B200})), ROW(A3)), 
    '1C'!B:O, 12, 0),
  INDEX(UNIQUE(FLATTEN({'1C'!$A$2:A200,'1C'!$B$2:B200})), ROW(A3))),
MATCH(INDEX(UNIQUE(FLATTEN({'1C'!$A$2:A200,'1C'!$B$2:B"&amp;"200})), ROW(A3)), L$3:L200, 0)
),)"),"РНПП-302")</f>
        <v>РНПП-302</v>
      </c>
      <c r="B5" s="89">
        <f ca="1">IFERROR(
  VLOOKUP(A5, '1C'!B:D, 3, 0),)</f>
        <v>2055</v>
      </c>
      <c r="C5" s="89">
        <f ca="1">IFERROR(
  VLOOKUP(A5, '1C'!B:Y, 24, 0),)</f>
        <v>2055</v>
      </c>
      <c r="D5" s="80" t="str">
        <f ca="1">IFERROR(
  VLOOKUP(A5, '1C'!B:J, 9, 0),)</f>
        <v>Послідовності, перекосу та обриву фаз, контроль пускача, індикація, налаштування часу роботи всіх видів захисту</v>
      </c>
      <c r="E5" s="81" t="str">
        <f ca="1">IFERROR(
  VLOOKUP(A5, '1C'!B:Q, 15, 0),)</f>
        <v>DIN</v>
      </c>
      <c r="F5" s="82">
        <f ca="1">IFERROR(
  VLOOKUP(A5, '1C'!B:S, 18, 0),)</f>
        <v>4</v>
      </c>
      <c r="G5" s="83" t="str">
        <f ca="1">IFERROR(
  VLOOKUP(A5, '1C'!B:U, 19, 0),)</f>
        <v>Пускач</v>
      </c>
      <c r="H5" s="81" t="str">
        <f ca="1">IFERROR(
  VLOOKUP(A5, '1C'!B:G, 6, 0),)</f>
        <v>NTRNP3020</v>
      </c>
      <c r="I5" s="90">
        <f ca="1">IFERROR( VLOOKUP(A5, '1C'!B:I, 8, 0),)</f>
        <v>4820122950429</v>
      </c>
      <c r="J5" s="91" t="str">
        <f ca="1">IFERROR(
  VLOOKUP(A5, '1C'!B:H, 7, 0),)</f>
        <v>8536 49 00 90</v>
      </c>
      <c r="K5" s="86"/>
      <c r="L5" s="87" t="str">
        <f ca="1">IFERROR(__xludf.DUMMYFUNCTION("""COMPUTED_VALUE"""),"РЕЛЕ ЧАСУ")</f>
        <v>РЕЛЕ ЧАСУ</v>
      </c>
    </row>
    <row r="6" spans="1:12" ht="26.4">
      <c r="A6" s="88" t="str">
        <f ca="1">IFERROR(__xludf.DUMMYFUNCTION("iferror(IFERROR(
HYPERLINK(
  VLOOKUP(
    INDEX(UNIQUE(FLATTEN({'1C'!$A$2:A200,'1C'!$B$2:B200})), ROW(A4)), 
    '1C'!B:O, 12, 0),
  INDEX(UNIQUE(FLATTEN({'1C'!$A$2:A200,'1C'!$B$2:B200})), ROW(A4))),
MATCH(INDEX(UNIQUE(FLATTEN({'1C'!$A$2:A200,'1C'!$B$2:B"&amp;"200})), ROW(A4)), L$3:L200, 0)
),)"),"РНПП-302М1")</f>
        <v>РНПП-302М1</v>
      </c>
      <c r="B6" s="89">
        <f ca="1">IFERROR(
  VLOOKUP(A6, '1C'!B:D, 3, 0),)</f>
        <v>2055</v>
      </c>
      <c r="C6" s="89">
        <f ca="1">IFERROR(
  VLOOKUP(A6, '1C'!B:Y, 24, 0),)</f>
        <v>2055</v>
      </c>
      <c r="D6" s="80" t="str">
        <f ca="1">IFERROR(
  VLOOKUP(A6, '1C'!B:J, 9, 0),)</f>
        <v>Послідовності, перекосу та обриву фаз, контроль пускача, індикація, налаштування часу роботи всіх видів захисту</v>
      </c>
      <c r="E6" s="81" t="str">
        <f ca="1">IFERROR(
  VLOOKUP(A6, '1C'!B:Q, 15, 0),)</f>
        <v>DIN</v>
      </c>
      <c r="F6" s="82">
        <f ca="1">IFERROR(
  VLOOKUP(A6, '1C'!B:S, 18, 0),)</f>
        <v>2</v>
      </c>
      <c r="G6" s="83" t="str">
        <f ca="1">IFERROR(
  VLOOKUP(A6, '1C'!B:U, 19, 0),)</f>
        <v>Пускач</v>
      </c>
      <c r="H6" s="81" t="str">
        <f ca="1">IFERROR(
  VLOOKUP(A6, '1C'!B:G, 6, 0),)</f>
        <v>NTRNP302М</v>
      </c>
      <c r="I6" s="90">
        <f ca="1">IFERROR( VLOOKUP(A6, '1C'!B:I, 8, 0),)</f>
        <v>0</v>
      </c>
      <c r="J6" s="91" t="str">
        <f ca="1">IFERROR(
  VLOOKUP(A6, '1C'!B:H, 7, 0),)</f>
        <v>8536 49 00 90</v>
      </c>
      <c r="K6" s="86"/>
      <c r="L6" s="87" t="str">
        <f ca="1">IFERROR(__xludf.DUMMYFUNCTION("""COMPUTED_VALUE"""),"ПЕРЕМИКАЧІ ФАЗ")</f>
        <v>ПЕРЕМИКАЧІ ФАЗ</v>
      </c>
    </row>
    <row r="7" spans="1:12" ht="14.4">
      <c r="A7" s="88" t="str">
        <f ca="1">IFERROR(__xludf.DUMMYFUNCTION("iferror(IFERROR(
HYPERLINK(
  VLOOKUP(
    INDEX(UNIQUE(FLATTEN({'1C'!$A$2:A200,'1C'!$B$2:B200})), ROW(A5)), 
    '1C'!B:O, 12, 0),
  INDEX(UNIQUE(FLATTEN({'1C'!$A$2:A200,'1C'!$B$2:B200})), ROW(A5))),
MATCH(INDEX(UNIQUE(FLATTEN({'1C'!$A$2:A200,'1C'!$B$2:B"&amp;"200})), ROW(A5)), L$3:L200, 0)
),)"),"РНПП-311.1")</f>
        <v>РНПП-311.1</v>
      </c>
      <c r="B7" s="89">
        <f ca="1">IFERROR(
  VLOOKUP(A7, '1C'!B:D, 3, 0),)</f>
        <v>1070</v>
      </c>
      <c r="C7" s="89">
        <f ca="1">IFERROR(
  VLOOKUP(A7, '1C'!B:Y, 24, 0),)</f>
        <v>1070</v>
      </c>
      <c r="D7" s="80" t="str">
        <f ca="1">IFERROR(
  VLOOKUP(A7, '1C'!B:J, 9, 0),)</f>
        <v>Послідовності, перекосу та обриву фаз, регулювання тільки % номінальної напруги</v>
      </c>
      <c r="E7" s="81" t="str">
        <f ca="1">IFERROR(
  VLOOKUP(A7, '1C'!B:Q, 15, 0),)</f>
        <v>DIN</v>
      </c>
      <c r="F7" s="82">
        <f ca="1">IFERROR(
  VLOOKUP(A7, '1C'!B:S, 18, 0),)</f>
        <v>2</v>
      </c>
      <c r="G7" s="83" t="str">
        <f ca="1">IFERROR(
  VLOOKUP(A7, '1C'!B:U, 19, 0),)</f>
        <v>Пускач</v>
      </c>
      <c r="H7" s="81" t="str">
        <f ca="1">IFERROR(
  VLOOKUP(A7, '1C'!B:G, 6, 0),)</f>
        <v>NTRNP3111</v>
      </c>
      <c r="I7" s="90">
        <f ca="1">IFERROR( VLOOKUP(A7, '1C'!B:I, 8, 0),)</f>
        <v>4820122950436</v>
      </c>
      <c r="J7" s="91" t="str">
        <f ca="1">IFERROR(
  VLOOKUP(A7, '1C'!B:H, 7, 0),)</f>
        <v>8536 49 00 90</v>
      </c>
      <c r="K7" s="86"/>
      <c r="L7" s="87" t="str">
        <f ca="1">IFERROR(__xludf.DUMMYFUNCTION("""COMPUTED_VALUE"""),"БЛОКИ ЗАХИСТУ ЕЛЕКТРОДВИГУНІВ")</f>
        <v>БЛОКИ ЗАХИСТУ ЕЛЕКТРОДВИГУНІВ</v>
      </c>
    </row>
    <row r="8" spans="1:12" ht="14.4">
      <c r="A8" s="88" t="str">
        <f ca="1">IFERROR(__xludf.DUMMYFUNCTION("iferror(IFERROR(
HYPERLINK(
  VLOOKUP(
    INDEX(UNIQUE(FLATTEN({'1C'!$A$2:A200,'1C'!$B$2:B200})), ROW(A6)), 
    '1C'!B:O, 12, 0),
  INDEX(UNIQUE(FLATTEN({'1C'!$A$2:A200,'1C'!$B$2:B200})), ROW(A6))),
MATCH(INDEX(UNIQUE(FLATTEN({'1C'!$A$2:A200,'1C'!$B$2:B"&amp;"200})), ROW(A6)), L$3:L200, 0)
),)"),"РНПП-311М (Н)")</f>
        <v>РНПП-311М (Н)</v>
      </c>
      <c r="B8" s="89">
        <f ca="1">IFERROR(
  VLOOKUP(A8, '1C'!B:D, 3, 0),)</f>
        <v>1255</v>
      </c>
      <c r="C8" s="89">
        <f ca="1">IFERROR(
  VLOOKUP(A8, '1C'!B:Y, 24, 0),)</f>
        <v>1255</v>
      </c>
      <c r="D8" s="80" t="str">
        <f ca="1">IFERROR(
  VLOOKUP(A8, '1C'!B:J, 9, 0),)</f>
        <v>Аналог РНПП-311, регулювання часу АПВ та спрацювання, вкл/відкл захистів</v>
      </c>
      <c r="E8" s="81" t="str">
        <f ca="1">IFERROR(
  VLOOKUP(A8, '1C'!B:Q, 15, 0),)</f>
        <v>DIN</v>
      </c>
      <c r="F8" s="82">
        <f ca="1">IFERROR(
  VLOOKUP(A8, '1C'!B:S, 18, 0),)</f>
        <v>2</v>
      </c>
      <c r="G8" s="83" t="str">
        <f ca="1">IFERROR(
  VLOOKUP(A8, '1C'!B:U, 19, 0),)</f>
        <v>Пускач</v>
      </c>
      <c r="H8" s="81" t="str">
        <f ca="1">IFERROR(
  VLOOKUP(A8, '1C'!B:G, 6, 0),)</f>
        <v>NTRNP311M</v>
      </c>
      <c r="I8" s="90">
        <f ca="1">IFERROR( VLOOKUP(A8, '1C'!B:I, 8, 0),)</f>
        <v>4820122950443</v>
      </c>
      <c r="J8" s="91" t="str">
        <f ca="1">IFERROR(
  VLOOKUP(A8, '1C'!B:H, 7, 0),)</f>
        <v>8536 49 00 90</v>
      </c>
      <c r="K8" s="86"/>
      <c r="L8" s="87" t="str">
        <f ca="1">IFERROR(__xludf.DUMMYFUNCTION("""COMPUTED_VALUE"""),"ОБМЕЖУВАЧІ ПОТУЖНОСТІ")</f>
        <v>ОБМЕЖУВАЧІ ПОТУЖНОСТІ</v>
      </c>
    </row>
    <row r="9" spans="1:12" ht="26.4">
      <c r="A9" s="88" t="str">
        <f ca="1">IFERROR(__xludf.DUMMYFUNCTION("iferror(IFERROR(
HYPERLINK(
  VLOOKUP(
    INDEX(UNIQUE(FLATTEN({'1C'!$A$2:A200,'1C'!$B$2:B200})), ROW(A7)), 
    '1C'!B:O, 12, 0),
  INDEX(UNIQUE(FLATTEN({'1C'!$A$2:A200,'1C'!$B$2:B200})), ROW(A7))),
MATCH(INDEX(UNIQUE(FLATTEN({'1C'!$A$2:A200,'1C'!$B$2:B"&amp;"200})), ROW(A7)), L$3:L200, 0)
),)"),"РНПП-311М (24V)")</f>
        <v>РНПП-311М (24V)</v>
      </c>
      <c r="B9" s="89">
        <f ca="1">IFERROR(
  VLOOKUP(A9, '1C'!B:D, 3, 0),)</f>
        <v>1265</v>
      </c>
      <c r="C9" s="89">
        <f ca="1">IFERROR(
  VLOOKUP(A9, '1C'!B:Y, 24, 0),)</f>
        <v>1265</v>
      </c>
      <c r="D9" s="80" t="str">
        <f ca="1">IFERROR(
  VLOOKUP(A9, '1C'!B:J, 9, 0),)</f>
        <v>Аналог РНПП-311, регулювання часу АПВ та спрацювання, вкл/відкл захистів, 24В DC</v>
      </c>
      <c r="E9" s="81" t="str">
        <f ca="1">IFERROR(
  VLOOKUP(A9, '1C'!B:Q, 15, 0),)</f>
        <v>DIN</v>
      </c>
      <c r="F9" s="82">
        <f ca="1">IFERROR(
  VLOOKUP(A9, '1C'!B:S, 18, 0),)</f>
        <v>2</v>
      </c>
      <c r="G9" s="83" t="str">
        <f ca="1">IFERROR(
  VLOOKUP(A9, '1C'!B:U, 19, 0),)</f>
        <v>Пускач</v>
      </c>
      <c r="H9" s="81" t="str">
        <f ca="1">IFERROR(
  VLOOKUP(A9, '1C'!B:G, 6, 0),)</f>
        <v>NTRNP311D</v>
      </c>
      <c r="I9" s="90">
        <f ca="1">IFERROR( VLOOKUP(A9, '1C'!B:I, 8, 0),)</f>
        <v>0</v>
      </c>
      <c r="J9" s="91" t="str">
        <f ca="1">IFERROR(
  VLOOKUP(A9, '1C'!B:H, 7, 0),)</f>
        <v>8536 49 00 90</v>
      </c>
      <c r="K9" s="86"/>
      <c r="L9" s="87" t="str">
        <f ca="1">IFERROR(__xludf.DUMMYFUNCTION("""COMPUTED_VALUE"""),"ОБМЕЖУВАЧІ СТРУМУ")</f>
        <v>ОБМЕЖУВАЧІ СТРУМУ</v>
      </c>
    </row>
    <row r="10" spans="1:12" ht="14.4">
      <c r="A10" s="88" t="str">
        <f ca="1">IFERROR(__xludf.DUMMYFUNCTION("iferror(IFERROR(
HYPERLINK(
  VLOOKUP(
    INDEX(UNIQUE(FLATTEN({'1C'!$A$2:A200,'1C'!$B$2:B200})), ROW(A8)), 
    '1C'!B:O, 12, 0),
  INDEX(UNIQUE(FLATTEN({'1C'!$A$2:A200,'1C'!$B$2:B200})), ROW(A8))),
MATCH(INDEX(UNIQUE(FLATTEN({'1C'!$A$2:A200,'1C'!$B$2:B"&amp;"200})), ROW(A8)), L$3:L200, 0)
),)"),"РНПП-312")</f>
        <v>РНПП-312</v>
      </c>
      <c r="B10" s="89">
        <f ca="1">IFERROR(
  VLOOKUP(A10, '1C'!B:D, 3, 0),)</f>
        <v>1360</v>
      </c>
      <c r="C10" s="89">
        <f ca="1">IFERROR(
  VLOOKUP(A10, '1C'!B:Y, 24, 0),)</f>
        <v>1360</v>
      </c>
      <c r="D10" s="80" t="str">
        <f ca="1">IFERROR(
  VLOOKUP(A10, '1C'!B:J, 9, 0),)</f>
        <v>Послідовності, перекосу та обриву фаз, одномодульний аналог РНПП-311М</v>
      </c>
      <c r="E10" s="81" t="str">
        <f ca="1">IFERROR(
  VLOOKUP(A10, '1C'!B:Q, 15, 0),)</f>
        <v>DIN</v>
      </c>
      <c r="F10" s="82">
        <f ca="1">IFERROR(
  VLOOKUP(A10, '1C'!B:S, 18, 0),)</f>
        <v>1</v>
      </c>
      <c r="G10" s="83" t="str">
        <f ca="1">IFERROR(
  VLOOKUP(A10, '1C'!B:U, 19, 0),)</f>
        <v>Пускач</v>
      </c>
      <c r="H10" s="81" t="str">
        <f ca="1">IFERROR(
  VLOOKUP(A10, '1C'!B:G, 6, 0),)</f>
        <v>NTRNP3120</v>
      </c>
      <c r="I10" s="90">
        <f ca="1">IFERROR( VLOOKUP(A10, '1C'!B:I, 8, 0),)</f>
        <v>4820122950450</v>
      </c>
      <c r="J10" s="91" t="str">
        <f ca="1">IFERROR(
  VLOOKUP(A10, '1C'!B:H, 7, 0),)</f>
        <v>8536 49 00 90</v>
      </c>
      <c r="K10" s="86"/>
      <c r="L10" s="87" t="str">
        <f ca="1">IFERROR(__xludf.DUMMYFUNCTION("""COMPUTED_VALUE"""),"ТЕМПЕРАТУРНІ КОНТРОЛЕРИ")</f>
        <v>ТЕМПЕРАТУРНІ КОНТРОЛЕРИ</v>
      </c>
    </row>
    <row r="11" spans="1:12" ht="26.4">
      <c r="A11" s="88" t="str">
        <f ca="1">IFERROR(__xludf.DUMMYFUNCTION("iferror(IFERROR(
HYPERLINK(
  VLOOKUP(
    INDEX(UNIQUE(FLATTEN({'1C'!$A$2:A200,'1C'!$B$2:B200})), ROW(A9)), 
    '1C'!B:O, 12, 0),
  INDEX(UNIQUE(FLATTEN({'1C'!$A$2:A200,'1C'!$B$2:B200})), ROW(A9))),
MATCH(INDEX(UNIQUE(FLATTEN({'1C'!$A$2:A200,'1C'!$B$2:B"&amp;"200})), ROW(A9)), L$3:L200, 0)&amp;""⁣""
),)"),"РНПП-313 ")</f>
        <v xml:space="preserve">РНПП-313 </v>
      </c>
      <c r="B11" s="89">
        <f ca="1">IFERROR(
  VLOOKUP(A11, '1C'!B:D, 3, 0),)</f>
        <v>895</v>
      </c>
      <c r="C11" s="89">
        <f ca="1">IFERROR(
  VLOOKUP(A11, '1C'!B:Y, 24, 0),)</f>
        <v>895</v>
      </c>
      <c r="D11" s="80" t="str">
        <f ca="1">IFERROR(
  VLOOKUP(A11, '1C'!B:J, 9, 0),)</f>
        <v>Послідовності, перекосу та обриву фаз, одномодульне, одне регулювання Toff, налаштування вшиті</v>
      </c>
      <c r="E11" s="81" t="str">
        <f ca="1">IFERROR(
  VLOOKUP(A11, '1C'!B:Q, 15, 0),)</f>
        <v>DIN</v>
      </c>
      <c r="F11" s="82">
        <f ca="1">IFERROR(
  VLOOKUP(A11, '1C'!B:S, 18, 0),)</f>
        <v>1</v>
      </c>
      <c r="G11" s="83" t="str">
        <f ca="1">IFERROR(
  VLOOKUP(A11, '1C'!B:U, 19, 0),)</f>
        <v>Пускач</v>
      </c>
      <c r="H11" s="81" t="str">
        <f ca="1">IFERROR(
  VLOOKUP(A11, '1C'!B:G, 6, 0),)</f>
        <v>NTRNP3130</v>
      </c>
      <c r="I11" s="90">
        <f ca="1">IFERROR( VLOOKUP(A11, '1C'!B:I, 8, 0),)</f>
        <v>0</v>
      </c>
      <c r="J11" s="91" t="str">
        <f ca="1">IFERROR(
  VLOOKUP(A11, '1C'!B:H, 7, 0),)</f>
        <v>8536 49 00 90</v>
      </c>
      <c r="K11" s="86"/>
      <c r="L11" s="87" t="str">
        <f ca="1">IFERROR(__xludf.DUMMYFUNCTION("""COMPUTED_VALUE"""),"КОНТРОЛЕРИ НАСОСНОЇ СТАНЦІЇ/РЕЛЕ ТИСКУ")</f>
        <v>КОНТРОЛЕРИ НАСОСНОЇ СТАНЦІЇ/РЕЛЕ ТИСКУ</v>
      </c>
    </row>
    <row r="12" spans="1:12" ht="14.4">
      <c r="A12" s="93" t="str">
        <f ca="1">IFERROR(__xludf.DUMMYFUNCTION("iferror(IFERROR(
HYPERLINK(
  VLOOKUP(
    INDEX(UNIQUE(FLATTEN({'1C'!$A$2:A200,'1C'!$B$2:B200})), ROW(A10)), 
    '1C'!B:O, 12, 0),
  INDEX(UNIQUE(FLATTEN({'1C'!$A$2:A200,'1C'!$B$2:B200})), ROW(A10))),
MATCH(INDEX(UNIQUE(FLATTEN({'1C'!$A$2:A200,'1C'!$B$2"&amp;":B200})), ROW(A10)), L$3:L200, 0)
),)"),"РНПП-314")</f>
        <v>РНПП-314</v>
      </c>
      <c r="B12" s="89">
        <f ca="1">IFERROR(
  VLOOKUP(A12, '1C'!B:D, 3, 0),)</f>
        <v>2045</v>
      </c>
      <c r="C12" s="89">
        <f ca="1">IFERROR(
  VLOOKUP(A12, '1C'!B:Y, 24, 0),)</f>
        <v>2045</v>
      </c>
      <c r="D12" s="80" t="str">
        <f ca="1">IFERROR(
  VLOOKUP(A12, '1C'!B:J, 9, 0),)</f>
        <v>Послідовності, перекосу та обриву фаз, вбудовані налаштування</v>
      </c>
      <c r="E12" s="81" t="str">
        <f ca="1">IFERROR(
  VLOOKUP(A12, '1C'!B:Q, 15, 0),)</f>
        <v>DIN</v>
      </c>
      <c r="F12" s="82">
        <f ca="1">IFERROR(
  VLOOKUP(A12, '1C'!B:S, 18, 0),)</f>
        <v>1</v>
      </c>
      <c r="G12" s="83" t="str">
        <f ca="1">IFERROR(
  VLOOKUP(A12, '1C'!B:U, 19, 0),)</f>
        <v>Пускач</v>
      </c>
      <c r="H12" s="81" t="str">
        <f ca="1">IFERROR(
  VLOOKUP(A12, '1C'!B:G, 6, 0),)</f>
        <v>NTRNP3140</v>
      </c>
      <c r="I12" s="90">
        <f ca="1">IFERROR( VLOOKUP(A12, '1C'!B:I, 8, 0),)</f>
        <v>0</v>
      </c>
      <c r="J12" s="91" t="str">
        <f ca="1">IFERROR(
  VLOOKUP(A12, '1C'!B:H, 7, 0),)</f>
        <v>8536 49 00 90</v>
      </c>
      <c r="K12" s="86"/>
      <c r="L12" s="87" t="str">
        <f ca="1">IFERROR(__xludf.DUMMYFUNCTION("""COMPUTED_VALUE"""),"РЕЄСТРАТОР ЕЛЕКТРИЧНИХ ПАРАМЕТРІВ")</f>
        <v>РЕЄСТРАТОР ЕЛЕКТРИЧНИХ ПАРАМЕТРІВ</v>
      </c>
    </row>
    <row r="13" spans="1:12" ht="26.4">
      <c r="A13" s="88" t="str">
        <f ca="1">IFERROR(__xludf.DUMMYFUNCTION("iferror(IFERROR(
HYPERLINK(
  VLOOKUP(
    INDEX(UNIQUE(FLATTEN({'1C'!$A$2:A200,'1C'!$B$2:B200})), ROW(A11)), 
    '1C'!B:O, 12, 0),
  INDEX(UNIQUE(FLATTEN({'1C'!$A$2:A200,'1C'!$B$2:B200})), ROW(A11))),
MATCH(INDEX(UNIQUE(FLATTEN({'1C'!$A$2:A200,'1C'!$B$2"&amp;":B200})), ROW(A11)), L$3:L200, 0)
),)"),"РНПП-316-500")</f>
        <v>РНПП-316-500</v>
      </c>
      <c r="B13" s="89">
        <f ca="1">IFERROR(
  VLOOKUP(A13, '1C'!B:D, 3, 0),)</f>
        <v>1430</v>
      </c>
      <c r="C13" s="89">
        <f ca="1">IFERROR(
  VLOOKUP(A13, '1C'!B:Y, 24, 0),)</f>
        <v>1575</v>
      </c>
      <c r="D13" s="80" t="str">
        <f ca="1">IFERROR(
  VLOOKUP(A13, '1C'!B:J, 9, 0),)</f>
        <v>Послідовності, перекосу та обриву фаз, роздільне регулювання Umin та Umax, аналог РНПП-311М</v>
      </c>
      <c r="E13" s="81" t="str">
        <f ca="1">IFERROR(
  VLOOKUP(A13, '1C'!B:Q, 15, 0),)</f>
        <v>DIN</v>
      </c>
      <c r="F13" s="82">
        <f ca="1">IFERROR(
  VLOOKUP(A13, '1C'!B:S, 18, 0),)</f>
        <v>2</v>
      </c>
      <c r="G13" s="83" t="str">
        <f ca="1">IFERROR(
  VLOOKUP(A13, '1C'!B:U, 19, 0),)</f>
        <v>Пускач</v>
      </c>
      <c r="H13" s="81" t="str">
        <f ca="1">IFERROR(
  VLOOKUP(A13, '1C'!B:G, 6, 0),)</f>
        <v>NTRNP3160</v>
      </c>
      <c r="I13" s="90">
        <f ca="1">IFERROR( VLOOKUP(A13, '1C'!B:I, 8, 0),)</f>
        <v>0</v>
      </c>
      <c r="J13" s="91" t="str">
        <f ca="1">IFERROR(
  VLOOKUP(A13, '1C'!B:H, 7, 0),)</f>
        <v>8536 49 00 90</v>
      </c>
      <c r="K13" s="86"/>
      <c r="L13" s="87" t="str">
        <f ca="1">IFERROR(__xludf.DUMMYFUNCTION("""COMPUTED_VALUE"""),"КОМПЕНСАТОР РЕАКТИВНОЇ ПОТУЖНОСТІ")</f>
        <v>КОМПЕНСАТОР РЕАКТИВНОЇ ПОТУЖНОСТІ</v>
      </c>
    </row>
    <row r="14" spans="1:12" ht="14.4">
      <c r="A14" s="88" t="str">
        <f ca="1">IFERROR(__xludf.DUMMYFUNCTION("iferror(IFERROR(
HYPERLINK(
  VLOOKUP(
    INDEX(UNIQUE(FLATTEN({'1C'!$A$2:A200,'1C'!$B$2:B200})), ROW(A12)), 
    '1C'!B:O, 12, 0),
  INDEX(UNIQUE(FLATTEN({'1C'!$A$2:A200,'1C'!$B$2:B200})), ROW(A12))),
MATCH(INDEX(UNIQUE(FLATTEN({'1C'!$A$2:A200,'1C'!$B$2"&amp;":B200})), ROW(A12)), L$3:L200, 0)
),)"),"РН-12")</f>
        <v>РН-12</v>
      </c>
      <c r="B14" s="89">
        <f ca="1">IFERROR(
  VLOOKUP(A14, '1C'!B:D, 3, 0),)</f>
        <v>290</v>
      </c>
      <c r="C14" s="89">
        <f ca="1">IFERROR(
  VLOOKUP(A14, '1C'!B:Y, 24, 0),)</f>
        <v>290</v>
      </c>
      <c r="D14" s="80" t="str">
        <f ca="1">IFERROR(
  VLOOKUP(A14, '1C'!B:J, 9, 0),)</f>
        <v>Індикатор фаз</v>
      </c>
      <c r="E14" s="81" t="str">
        <f ca="1">IFERROR(
  VLOOKUP(A14, '1C'!B:Q, 15, 0),)</f>
        <v>DIN</v>
      </c>
      <c r="F14" s="82">
        <f ca="1">IFERROR(
  VLOOKUP(A14, '1C'!B:S, 18, 0),)</f>
        <v>1</v>
      </c>
      <c r="G14" s="83" t="str">
        <f ca="1">IFERROR(
  VLOOKUP(A14, '1C'!B:U, 19, 0),)</f>
        <v>-</v>
      </c>
      <c r="H14" s="81" t="str">
        <f ca="1">IFERROR(
  VLOOKUP(A14, '1C'!B:G, 6, 0),)</f>
        <v>NTRN12000</v>
      </c>
      <c r="I14" s="90">
        <f ca="1">IFERROR( VLOOKUP(A14, '1C'!B:I, 8, 0),)</f>
        <v>0</v>
      </c>
      <c r="J14" s="91" t="str">
        <f ca="1">IFERROR(
  VLOOKUP(A14, '1C'!B:H, 7, 0),)</f>
        <v>8536 49 00 90</v>
      </c>
      <c r="K14" s="86"/>
      <c r="L14" s="87" t="str">
        <f ca="1">IFERROR(__xludf.DUMMYFUNCTION("""COMPUTED_VALUE"""),"ПРИСТРІЙ ПОПЕР. КОНТРОЛЮ ОПОРУ ІЗОЛ.")</f>
        <v>ПРИСТРІЙ ПОПЕР. КОНТРОЛЮ ОПОРУ ІЗОЛ.</v>
      </c>
    </row>
    <row r="15" spans="1:12" ht="14.4">
      <c r="A15" s="93" t="str">
        <f ca="1">IFERROR(__xludf.DUMMYFUNCTION("iferror(IFERROR(
HYPERLINK(
  VLOOKUP(
    INDEX(UNIQUE(FLATTEN({'1C'!$A$2:A200,'1C'!$B$2:B200})), ROW(A13)), 
    '1C'!B:O, 12, 0),
  INDEX(UNIQUE(FLATTEN({'1C'!$A$2:A200,'1C'!$B$2:B200})), ROW(A13))),
MATCH(INDEX(UNIQUE(FLATTEN({'1C'!$A$2:A200,'1C'!$B$2"&amp;":B200})), ROW(A13)), L$3:L200, 0)
),)"),"РН-35")</f>
        <v>РН-35</v>
      </c>
      <c r="B15" s="89" t="str">
        <f ca="1">IFERROR(
  VLOOKUP(A15, '1C'!B:D, 3, 0),)</f>
        <v>-</v>
      </c>
      <c r="C15" s="89" t="str">
        <f ca="1">IFERROR(
  VLOOKUP(A15, '1C'!B:Y, 24, 0),)</f>
        <v>-</v>
      </c>
      <c r="D15" s="80" t="str">
        <f ca="1">IFERROR(
  VLOOKUP(A15, '1C'!B:J, 9, 0),)</f>
        <v>-</v>
      </c>
      <c r="E15" s="81" t="str">
        <f ca="1">IFERROR(
  VLOOKUP(A15, '1C'!B:Q, 15, 0),)</f>
        <v>DIN</v>
      </c>
      <c r="F15" s="82">
        <f ca="1">IFERROR(
  VLOOKUP(A15, '1C'!B:S, 18, 0),)</f>
        <v>1</v>
      </c>
      <c r="G15" s="83" t="str">
        <f ca="1">IFERROR(
  VLOOKUP(A15, '1C'!B:U, 19, 0),)</f>
        <v>10А</v>
      </c>
      <c r="H15" s="81" t="str">
        <f ca="1">IFERROR(
  VLOOKUP(A15, '1C'!B:G, 6, 0),)</f>
        <v>-</v>
      </c>
      <c r="I15" s="90">
        <f ca="1">IFERROR( VLOOKUP(A15, '1C'!B:I, 8, 0),)</f>
        <v>0</v>
      </c>
      <c r="J15" s="91" t="str">
        <f ca="1">IFERROR(
  VLOOKUP(A15, '1C'!B:H, 7, 0),)</f>
        <v>-</v>
      </c>
      <c r="K15" s="86"/>
      <c r="L15" s="87" t="str">
        <f ca="1">IFERROR(__xludf.DUMMYFUNCTION("""COMPUTED_VALUE"""),"ДАТЧИКИ ТЕМПЕРАТУРИ")</f>
        <v>ДАТЧИКИ ТЕМПЕРАТУРИ</v>
      </c>
    </row>
    <row r="16" spans="1:12" ht="14.4">
      <c r="A16" s="93" t="str">
        <f ca="1">IFERROR(__xludf.DUMMYFUNCTION("iferror(IFERROR(
HYPERLINK(
  VLOOKUP(
    INDEX(UNIQUE(FLATTEN({'1C'!$A$2:A200,'1C'!$B$2:B200})), ROW(A14)), 
    '1C'!B:O, 12, 0),
  INDEX(UNIQUE(FLATTEN({'1C'!$A$2:A200,'1C'!$B$2:B200})), ROW(A14))),
MATCH(INDEX(UNIQUE(FLATTEN({'1C'!$A$2:A200,'1C'!$B$2"&amp;":B200})), ROW(A14)), L$3:L200, 0)
),)"),"ТАЙМЕРИ")</f>
        <v>ТАЙМЕРИ</v>
      </c>
      <c r="B16" s="89">
        <f ca="1">IFERROR(
  VLOOKUP(A16, '1C'!B:D, 3, 0),)</f>
        <v>0</v>
      </c>
      <c r="C16" s="89"/>
      <c r="D16" s="80">
        <f ca="1">IFERROR(
  VLOOKUP(A16, '1C'!B:J, 9, 0),)</f>
        <v>0</v>
      </c>
      <c r="E16" s="81">
        <f ca="1">IFERROR(
  VLOOKUP(A16, '1C'!B:Q, 15, 0),)</f>
        <v>0</v>
      </c>
      <c r="F16" s="82">
        <f ca="1">IFERROR(
  VLOOKUP(A16, '1C'!B:S, 18, 0),)</f>
        <v>0</v>
      </c>
      <c r="G16" s="83">
        <f ca="1">IFERROR(
  VLOOKUP(A16, '1C'!B:U, 19, 0),)</f>
        <v>0</v>
      </c>
      <c r="H16" s="81">
        <f ca="1">IFERROR(
  VLOOKUP(A16, '1C'!B:G, 6, 0),)</f>
        <v>0</v>
      </c>
      <c r="I16" s="90">
        <f ca="1">IFERROR( VLOOKUP(A16, '1C'!B:I, 8, 0),)</f>
        <v>0</v>
      </c>
      <c r="J16" s="91">
        <f ca="1">IFERROR(
  VLOOKUP(A16, '1C'!B:H, 7, 0),)</f>
        <v>0</v>
      </c>
      <c r="K16" s="86"/>
      <c r="L16" s="87" t="str">
        <f ca="1">IFERROR(__xludf.DUMMYFUNCTION("""COMPUTED_VALUE"""),"МОДУЛІ ВВОДУ-ВИВОДУ")</f>
        <v>МОДУЛІ ВВОДУ-ВИВОДУ</v>
      </c>
    </row>
    <row r="17" spans="1:12" ht="14.4">
      <c r="A17" s="88" t="str">
        <f ca="1">IFERROR(__xludf.DUMMYFUNCTION("iferror(IFERROR(
HYPERLINK(
  VLOOKUP(
    INDEX(UNIQUE(FLATTEN({'1C'!$A$2:A200,'1C'!$B$2:B200})), ROW(A15)), 
    '1C'!B:O, 12, 0),
  INDEX(UNIQUE(FLATTEN({'1C'!$A$2:A200,'1C'!$B$2:B200})), ROW(A15))),
MATCH(INDEX(UNIQUE(FLATTEN({'1C'!$A$2:A200,'1C'!$B$2"&amp;":B200})), ROW(A15)), L$3:L200, 0)
),)"),"РЕВ-225")</f>
        <v>РЕВ-225</v>
      </c>
      <c r="B17" s="89">
        <f ca="1">IFERROR(
  VLOOKUP(A17, '1C'!B:D, 3, 0),)</f>
        <v>1795</v>
      </c>
      <c r="C17" s="89">
        <f ca="1">IFERROR(
  VLOOKUP(A17, '1C'!B:Y, 24, 0),)</f>
        <v>2245</v>
      </c>
      <c r="D17" s="80" t="str">
        <f ca="1">IFERROR(
  VLOOKUP(A17, '1C'!B:J, 9, 0),)</f>
        <v>Астрономічний таймер одноканальний</v>
      </c>
      <c r="E17" s="81" t="str">
        <f ca="1">IFERROR(
  VLOOKUP(A17, '1C'!B:Q, 15, 0),)</f>
        <v>DIN</v>
      </c>
      <c r="F17" s="82">
        <f ca="1">IFERROR(
  VLOOKUP(A17, '1C'!B:S, 18, 0),)</f>
        <v>2</v>
      </c>
      <c r="G17" s="83" t="str">
        <f ca="1">IFERROR(
  VLOOKUP(A17, '1C'!B:U, 19, 0),)</f>
        <v>16А</v>
      </c>
      <c r="H17" s="81" t="str">
        <f ca="1">IFERROR(
  VLOOKUP(A17, '1C'!B:G, 6, 0),)</f>
        <v>NTRV22500</v>
      </c>
      <c r="I17" s="90">
        <f ca="1">IFERROR( VLOOKUP(A17, '1C'!B:I, 8, 0),)</f>
        <v>4820122950467</v>
      </c>
      <c r="J17" s="91" t="str">
        <f ca="1">IFERROR(
  VLOOKUP(A17, '1C'!B:H, 7, 0),)</f>
        <v>8536 49 00 90</v>
      </c>
      <c r="K17" s="86"/>
      <c r="L17" s="87" t="str">
        <f ca="1">IFERROR(__xludf.DUMMYFUNCTION("""COMPUTED_VALUE"""),"MODBUS-КОНТРОЛЕРИ WEB-ДОСТУПУ")</f>
        <v>MODBUS-КОНТРОЛЕРИ WEB-ДОСТУПУ</v>
      </c>
    </row>
    <row r="18" spans="1:12" ht="14.4">
      <c r="A18" s="88" t="str">
        <f ca="1">IFERROR(__xludf.DUMMYFUNCTION("iferror(IFERROR(
HYPERLINK(
  VLOOKUP(
    INDEX(UNIQUE(FLATTEN({'1C'!$A$2:A200,'1C'!$B$2:B200})), ROW(A16)), 
    '1C'!B:O, 12, 0),
  INDEX(UNIQUE(FLATTEN({'1C'!$A$2:A200,'1C'!$B$2:B200})), ROW(A16))),
MATCH(INDEX(UNIQUE(FLATTEN({'1C'!$A$2:A200,'1C'!$B$2"&amp;":B200})), ROW(A16)), L$3:L200, 0)
),)"),"РН-16ТM")</f>
        <v>РН-16ТM</v>
      </c>
      <c r="B18" s="89" t="str">
        <f ca="1">IFERROR(
  VLOOKUP(A18, '1C'!B:D, 3, 0),)</f>
        <v>знятий з виробн.</v>
      </c>
      <c r="C18" s="89" t="str">
        <f ca="1">IFERROR(
  VLOOKUP(A18, '1C'!B:Y, 24, 0),)</f>
        <v>знятий з виробн.</v>
      </c>
      <c r="D18" s="80" t="str">
        <f ca="1">IFERROR(
  VLOOKUP(A18, '1C'!B:J, 9, 0),)</f>
        <v>Добово-тижневий таймер + реле напруги + вбудоване фотореле</v>
      </c>
      <c r="E18" s="81" t="str">
        <f ca="1">IFERROR(
  VLOOKUP(A18, '1C'!B:Q, 15, 0),)</f>
        <v>DIN</v>
      </c>
      <c r="F18" s="82">
        <f ca="1">IFERROR(
  VLOOKUP(A18, '1C'!B:S, 18, 0),)</f>
        <v>3</v>
      </c>
      <c r="G18" s="83" t="str">
        <f ca="1">IFERROR(
  VLOOKUP(A18, '1C'!B:U, 19, 0),)</f>
        <v>16А</v>
      </c>
      <c r="H18" s="81" t="str">
        <f ca="1">IFERROR(
  VLOOKUP(A18, '1C'!B:G, 6, 0),)</f>
        <v>NTRV16TM0</v>
      </c>
      <c r="I18" s="90">
        <f ca="1">IFERROR( VLOOKUP(A18, '1C'!B:I, 8, 0),)</f>
        <v>0</v>
      </c>
      <c r="J18" s="91" t="str">
        <f ca="1">IFERROR(
  VLOOKUP(A18, '1C'!B:H, 7, 0),)</f>
        <v>8536 49 00 90</v>
      </c>
      <c r="K18" s="86"/>
      <c r="L18" s="92" t="str">
        <f ca="1">IFERROR(__xludf.DUMMYFUNCTION("""COMPUTED_VALUE"""),"БЛОК АВТОМАТИЧНОГО ВВОДУ РЕЗЕРВУ")</f>
        <v>БЛОК АВТОМАТИЧНОГО ВВОДУ РЕЗЕРВУ</v>
      </c>
    </row>
    <row r="19" spans="1:12" ht="26.4">
      <c r="A19" s="88" t="str">
        <f ca="1">IFERROR(__xludf.DUMMYFUNCTION("iferror(IFERROR(
HYPERLINK(
  VLOOKUP(
    INDEX(UNIQUE(FLATTEN({'1C'!$A$2:A200,'1C'!$B$2:B200})), ROW(A17)), 
    '1C'!B:O, 12, 0),
  INDEX(UNIQUE(FLATTEN({'1C'!$A$2:A200,'1C'!$B$2:B200})), ROW(A17))),
MATCH(INDEX(UNIQUE(FLATTEN({'1C'!$A$2:A200,'1C'!$B$2"&amp;":B200})), ROW(A17)), L$3:L200, 0)
),)"),"РЕВ-302")</f>
        <v>РЕВ-302</v>
      </c>
      <c r="B19" s="89">
        <f ca="1">IFERROR(
  VLOOKUP(A19, '1C'!B:D, 3, 0),)</f>
        <v>2890</v>
      </c>
      <c r="C19" s="89">
        <f ca="1">IFERROR(
  VLOOKUP(A19, '1C'!B:Y, 24, 0),)</f>
        <v>3615</v>
      </c>
      <c r="D19" s="80" t="str">
        <f ca="1">IFERROR(
  VLOOKUP(A19, '1C'!B:J, 9, 0),)</f>
        <v>Річний, місячний, тижневий, добовий таймер + реле напруги, виносне фотореле, 2 канали, налаштування ПК та Андроїд</v>
      </c>
      <c r="E19" s="81" t="str">
        <f ca="1">IFERROR(
  VLOOKUP(A19, '1C'!B:Q, 15, 0),)</f>
        <v>DIN</v>
      </c>
      <c r="F19" s="82">
        <f ca="1">IFERROR(
  VLOOKUP(A19, '1C'!B:S, 18, 0),)</f>
        <v>3</v>
      </c>
      <c r="G19" s="83" t="str">
        <f ca="1">IFERROR(
  VLOOKUP(A19, '1C'!B:U, 19, 0),)</f>
        <v>16А</v>
      </c>
      <c r="H19" s="81" t="str">
        <f ca="1">IFERROR(
  VLOOKUP(A19, '1C'!B:G, 6, 0),)</f>
        <v>NTRV30200</v>
      </c>
      <c r="I19" s="90">
        <f ca="1">IFERROR( VLOOKUP(A19, '1C'!B:I, 8, 0),)</f>
        <v>4820122950474</v>
      </c>
      <c r="J19" s="91" t="str">
        <f ca="1">IFERROR(
  VLOOKUP(A19, '1C'!B:H, 7, 0),)</f>
        <v>8536 49 00 90</v>
      </c>
      <c r="K19" s="86"/>
      <c r="L19" s="92" t="str">
        <f ca="1">IFERROR(__xludf.DUMMYFUNCTION("""COMPUTED_VALUE"""),"РОЗ'ЄМНІ ТРАНСФОРМАТОРИ СТРУМУ")</f>
        <v>РОЗ'ЄМНІ ТРАНСФОРМАТОРИ СТРУМУ</v>
      </c>
    </row>
    <row r="20" spans="1:12" ht="14.4">
      <c r="A20" s="88" t="str">
        <f ca="1">IFERROR(__xludf.DUMMYFUNCTION("iferror(IFERROR(
HYPERLINK(
  VLOOKUP(
    INDEX(UNIQUE(FLATTEN({'1C'!$A$2:A200,'1C'!$B$2:B200})), ROW(A18)), 
    '1C'!B:O, 12, 0),
  INDEX(UNIQUE(FLATTEN({'1C'!$A$2:A200,'1C'!$B$2:B200})), ROW(A18))),
MATCH(INDEX(UNIQUE(FLATTEN({'1C'!$A$2:A200,'1C'!$B$2"&amp;":B200})), ROW(A18)), L$3:L200, 0)
),)"),"РЕВ-303")</f>
        <v>РЕВ-303</v>
      </c>
      <c r="B20" s="89">
        <f ca="1">IFERROR(
  VLOOKUP(A20, '1C'!B:D, 3, 0),)</f>
        <v>1915</v>
      </c>
      <c r="C20" s="89">
        <f ca="1">IFERROR(
  VLOOKUP(A20, '1C'!B:Y, 24, 0),)</f>
        <v>2395</v>
      </c>
      <c r="D20" s="80" t="str">
        <f ca="1">IFERROR(
  VLOOKUP(A20, '1C'!B:J, 9, 0),)</f>
        <v>Добово-тижневий, астрономічний одноканальний таймер</v>
      </c>
      <c r="E20" s="81" t="str">
        <f ca="1">IFERROR(
  VLOOKUP(A20, '1C'!B:Q, 15, 0),)</f>
        <v>DIN</v>
      </c>
      <c r="F20" s="82">
        <f ca="1">IFERROR(
  VLOOKUP(A20, '1C'!B:S, 18, 0),)</f>
        <v>2</v>
      </c>
      <c r="G20" s="83" t="str">
        <f ca="1">IFERROR(
  VLOOKUP(A20, '1C'!B:U, 19, 0),)</f>
        <v>16А</v>
      </c>
      <c r="H20" s="81" t="str">
        <f ca="1">IFERROR(
  VLOOKUP(A20, '1C'!B:G, 6, 0),)</f>
        <v>NTRV30300</v>
      </c>
      <c r="I20" s="90">
        <f ca="1">IFERROR( VLOOKUP(A20, '1C'!B:I, 8, 0),)</f>
        <v>4820122950542</v>
      </c>
      <c r="J20" s="91" t="str">
        <f ca="1">IFERROR(
  VLOOKUP(A20, '1C'!B:H, 7, 0),)</f>
        <v>8536 49 00 90</v>
      </c>
      <c r="K20" s="86"/>
      <c r="L20" s="92" t="str">
        <f ca="1">IFERROR(__xludf.DUMMYFUNCTION("""COMPUTED_VALUE"""),"ОБМЕЖУВАЧІ ПЕРЕНАПРУГИ (ОПН)")</f>
        <v>ОБМЕЖУВАЧІ ПЕРЕНАПРУГИ (ОПН)</v>
      </c>
    </row>
    <row r="21" spans="1:12" ht="14.4">
      <c r="A21" s="88" t="str">
        <f ca="1">IFERROR(__xludf.DUMMYFUNCTION("iferror(IFERROR(
HYPERLINK(
  VLOOKUP(
    INDEX(UNIQUE(FLATTEN({'1C'!$A$2:A200,'1C'!$B$2:B200})), ROW(A19)), 
    '1C'!B:O, 12, 0),
  INDEX(UNIQUE(FLATTEN({'1C'!$A$2:A200,'1C'!$B$2:B200})), ROW(A19))),
MATCH(INDEX(UNIQUE(FLATTEN({'1C'!$A$2:A200,'1C'!$B$2"&amp;":B200})), ROW(A19)), L$3:L200, 0)
),)"),"ЕМ-130")</f>
        <v>ЕМ-130</v>
      </c>
      <c r="B21" s="89">
        <f ca="1">IFERROR(
  VLOOKUP(A21, '1C'!B:D, 3, 0),)</f>
        <v>1865</v>
      </c>
      <c r="C21" s="89">
        <f ca="1">IFERROR(
  VLOOKUP(A21, '1C'!B:Y, 24, 0),)</f>
        <v>2330</v>
      </c>
      <c r="D21" s="80" t="str">
        <f ca="1">IFERROR(
  VLOOKUP(A21, '1C'!B:J, 9, 0),)</f>
        <v>Wi-Fi-таймер добово-тижневий та астрономічний, віддалене керування + ModBus</v>
      </c>
      <c r="E21" s="81" t="str">
        <f ca="1">IFERROR(
  VLOOKUP(A21, '1C'!B:Q, 15, 0),)</f>
        <v>DIN</v>
      </c>
      <c r="F21" s="82">
        <f ca="1">IFERROR(
  VLOOKUP(A21, '1C'!B:S, 18, 0),)</f>
        <v>1</v>
      </c>
      <c r="G21" s="83" t="str">
        <f ca="1">IFERROR(
  VLOOKUP(A21, '1C'!B:U, 19, 0),)</f>
        <v>7А</v>
      </c>
      <c r="H21" s="81" t="str">
        <f ca="1">IFERROR(
  VLOOKUP(A21, '1C'!B:G, 6, 0),)</f>
        <v>NTRV13000</v>
      </c>
      <c r="I21" s="90">
        <f ca="1">IFERROR( VLOOKUP(A21, '1C'!B:I, 8, 0),)</f>
        <v>4820122950535</v>
      </c>
      <c r="J21" s="91" t="str">
        <f ca="1">IFERROR(
  VLOOKUP(A21, '1C'!B:H, 7, 0),)</f>
        <v>8517 62 00 00</v>
      </c>
      <c r="K21" s="86"/>
      <c r="L21" s="87" t="str">
        <f ca="1">IFERROR(__xludf.DUMMYFUNCTION("""COMPUTED_VALUE"""),"ОДНОФАЗНІ РЕЛЕ НАПРУГИ (ВИЛКА-РОЗЕТКА)")</f>
        <v>ОДНОФАЗНІ РЕЛЕ НАПРУГИ (ВИЛКА-РОЗЕТКА)</v>
      </c>
    </row>
    <row r="22" spans="1:12" ht="14.4">
      <c r="A22" s="93" t="str">
        <f ca="1">IFERROR(__xludf.DUMMYFUNCTION("iferror(IFERROR(
HYPERLINK(
  VLOOKUP(
    INDEX(UNIQUE(FLATTEN({'1C'!$A$2:A200,'1C'!$B$2:B200})), ROW(A20)), 
    '1C'!B:O, 12, 0),
  INDEX(UNIQUE(FLATTEN({'1C'!$A$2:A200,'1C'!$B$2:B200})), ROW(A20))),
MATCH(INDEX(UNIQUE(FLATTEN({'1C'!$A$2:A200,'1C'!$B$2"&amp;":B200})), ROW(A20)), L$3:L200, 0)
),)"),"РЕЛЕ ЧАСУ")</f>
        <v>РЕЛЕ ЧАСУ</v>
      </c>
      <c r="B22" s="89">
        <f ca="1">IFERROR(
  VLOOKUP(A22, '1C'!B:D, 3, 0),)</f>
        <v>0</v>
      </c>
      <c r="C22" s="89"/>
      <c r="D22" s="80">
        <f ca="1">IFERROR(
  VLOOKUP(A22, '1C'!B:J, 9, 0),)</f>
        <v>0</v>
      </c>
      <c r="E22" s="81">
        <f ca="1">IFERROR(
  VLOOKUP(A22, '1C'!B:Q, 15, 0),)</f>
        <v>0</v>
      </c>
      <c r="F22" s="82">
        <f ca="1">IFERROR(
  VLOOKUP(A22, '1C'!B:S, 18, 0),)</f>
        <v>0</v>
      </c>
      <c r="G22" s="83">
        <f ca="1">IFERROR(
  VLOOKUP(A22, '1C'!B:U, 19, 0),)</f>
        <v>0</v>
      </c>
      <c r="H22" s="81">
        <f ca="1">IFERROR(
  VLOOKUP(A22, '1C'!B:G, 6, 0),)</f>
        <v>0</v>
      </c>
      <c r="I22" s="90">
        <f ca="1">IFERROR( VLOOKUP(A22, '1C'!B:I, 8, 0),)</f>
        <v>0</v>
      </c>
      <c r="J22" s="91">
        <f ca="1">IFERROR(
  VLOOKUP(A22, '1C'!B:H, 7, 0),)</f>
        <v>0</v>
      </c>
      <c r="K22" s="86"/>
      <c r="L22" s="87" t="str">
        <f ca="1">IFERROR(__xludf.DUMMYFUNCTION("""COMPUTED_VALUE"""),"ОДНОФАЗНІ РЕЛЕ НАПРУГИ (DIN-РЕЙКА)")</f>
        <v>ОДНОФАЗНІ РЕЛЕ НАПРУГИ (DIN-РЕЙКА)</v>
      </c>
    </row>
    <row r="23" spans="1:12" ht="14.4">
      <c r="A23" s="88" t="str">
        <f ca="1">IFERROR(__xludf.DUMMYFUNCTION("iferror(IFERROR(
HYPERLINK(
  VLOOKUP(
    INDEX(UNIQUE(FLATTEN({'1C'!$A$2:A200,'1C'!$B$2:B200})), ROW(A21)), 
    '1C'!B:O, 12, 0),
  INDEX(UNIQUE(FLATTEN({'1C'!$A$2:A200,'1C'!$B$2:B200})), ROW(A21))),
MATCH(INDEX(UNIQUE(FLATTEN({'1C'!$A$2:A200,'1C'!$B$2"&amp;":B200})), ROW(A21)), L$3:L200, 0)
),)"),"РЕВ-201")</f>
        <v>РЕВ-201</v>
      </c>
      <c r="B23" s="89" t="str">
        <f ca="1">IFERROR(
  VLOOKUP(A23, '1C'!B:D, 3, 0),)</f>
        <v>знятий з виробн.</v>
      </c>
      <c r="C23" s="89" t="str">
        <f ca="1">IFERROR(
  VLOOKUP(A23, '1C'!B:Y, 24, 0),)</f>
        <v>знятий з виробн.</v>
      </c>
      <c r="D23" s="80" t="str">
        <f ca="1">IFERROR(
  VLOOKUP(A23, '1C'!B:J, 9, 0),)</f>
        <v>Двоканальне реле затримки</v>
      </c>
      <c r="E23" s="81" t="str">
        <f ca="1">IFERROR(
  VLOOKUP(A23, '1C'!B:Q, 15, 0),)</f>
        <v>DIN</v>
      </c>
      <c r="F23" s="82">
        <f ca="1">IFERROR(
  VLOOKUP(A23, '1C'!B:S, 18, 0),)</f>
        <v>3</v>
      </c>
      <c r="G23" s="83" t="str">
        <f ca="1">IFERROR(
  VLOOKUP(A23, '1C'!B:U, 19, 0),)</f>
        <v>16А</v>
      </c>
      <c r="H23" s="81" t="str">
        <f ca="1">IFERROR(
  VLOOKUP(A23, '1C'!B:G, 6, 0),)</f>
        <v>NTREV2010</v>
      </c>
      <c r="I23" s="90">
        <f ca="1">IFERROR( VLOOKUP(A23, '1C'!B:I, 8, 0),)</f>
        <v>0</v>
      </c>
      <c r="J23" s="91" t="str">
        <f ca="1">IFERROR(
  VLOOKUP(A23, '1C'!B:H, 7, 0),)</f>
        <v>8536 49 00 90</v>
      </c>
      <c r="K23" s="86"/>
      <c r="L23" s="87" t="str">
        <f ca="1">IFERROR(__xludf.DUMMYFUNCTION("""COMPUTED_VALUE"""),"РЕЛЕ ПЕРЕТОКУ")</f>
        <v>РЕЛЕ ПЕРЕТОКУ</v>
      </c>
    </row>
    <row r="24" spans="1:12" ht="14.4">
      <c r="A24" s="88" t="str">
        <f ca="1">IFERROR(__xludf.DUMMYFUNCTION("iferror(IFERROR(
HYPERLINK(
  VLOOKUP(
    INDEX(UNIQUE(FLATTEN({'1C'!$A$2:A200,'1C'!$B$2:B200})), ROW(A22)), 
    '1C'!B:O, 12, 0),
  INDEX(UNIQUE(FLATTEN({'1C'!$A$2:A200,'1C'!$B$2:B200})), ROW(A22))),
MATCH(INDEX(UNIQUE(FLATTEN({'1C'!$A$2:A200,'1C'!$B$2"&amp;":B200})), ROW(A22)), L$3:L200, 0)
),)"),"РЕВ-201М")</f>
        <v>РЕВ-201М</v>
      </c>
      <c r="B24" s="89">
        <f ca="1">IFERROR(
  VLOOKUP(A24, '1C'!B:D, 3, 0),)</f>
        <v>1380</v>
      </c>
      <c r="C24" s="89">
        <f ca="1">IFERROR(
  VLOOKUP(A24, '1C'!B:Y, 24, 0),)</f>
        <v>1380</v>
      </c>
      <c r="D24" s="80" t="str">
        <f ca="1">IFERROR(
  VLOOKUP(A24, '1C'!B:J, 9, 0),)</f>
        <v>Двоканальне реле затримки модернізоване, 7 програм</v>
      </c>
      <c r="E24" s="81" t="str">
        <f ca="1">IFERROR(
  VLOOKUP(A24, '1C'!B:Q, 15, 0),)</f>
        <v>DIN</v>
      </c>
      <c r="F24" s="82">
        <f ca="1">IFERROR(
  VLOOKUP(A24, '1C'!B:S, 18, 0),)</f>
        <v>2</v>
      </c>
      <c r="G24" s="83" t="str">
        <f ca="1">IFERROR(
  VLOOKUP(A24, '1C'!B:U, 19, 0),)</f>
        <v>16А</v>
      </c>
      <c r="H24" s="81" t="str">
        <f ca="1">IFERROR(
  VLOOKUP(A24, '1C'!B:G, 6, 0),)</f>
        <v>NTREV201M</v>
      </c>
      <c r="I24" s="90">
        <f ca="1">IFERROR( VLOOKUP(A24, '1C'!B:I, 8, 0),)</f>
        <v>4820122950481</v>
      </c>
      <c r="J24" s="91" t="str">
        <f ca="1">IFERROR(
  VLOOKUP(A24, '1C'!B:H, 7, 0),)</f>
        <v>8536 49 00 90</v>
      </c>
      <c r="K24" s="86"/>
      <c r="L24" s="87" t="str">
        <f ca="1">IFERROR(__xludf.DUMMYFUNCTION("""COMPUTED_VALUE"""),"СТАБІЛІЗАТОРИ НАПРУГИ")</f>
        <v>СТАБІЛІЗАТОРИ НАПРУГИ</v>
      </c>
    </row>
    <row r="25" spans="1:12" ht="14.4">
      <c r="A25" s="88" t="str">
        <f ca="1">IFERROR(__xludf.DUMMYFUNCTION("iferror(IFERROR(
HYPERLINK(
  VLOOKUP(
    INDEX(UNIQUE(FLATTEN({'1C'!$A$2:A200,'1C'!$B$2:B200})), ROW(A23)), 
    '1C'!B:O, 12, 0),
  INDEX(UNIQUE(FLATTEN({'1C'!$A$2:A200,'1C'!$B$2:B200})), ROW(A23))),
MATCH(INDEX(UNIQUE(FLATTEN({'1C'!$A$2:A200,'1C'!$B$2"&amp;":B200})), ROW(A23)), L$3:L200, 0)
),)"),"РВ-123")</f>
        <v>РВ-123</v>
      </c>
      <c r="B25" s="89">
        <f ca="1">IFERROR(
  VLOOKUP(A25, '1C'!B:D, 3, 0),)</f>
        <v>845</v>
      </c>
      <c r="C25" s="89">
        <f ca="1">IFERROR(
  VLOOKUP(A25, '1C'!B:Y, 24, 0),)</f>
        <v>930</v>
      </c>
      <c r="D25" s="80" t="str">
        <f ca="1">IFERROR(
  VLOOKUP(A25, '1C'!B:J, 9, 0),)</f>
        <v>Просте реле часу, 1 регулювання, для вентиляції</v>
      </c>
      <c r="E25" s="81" t="str">
        <f ca="1">IFERROR(
  VLOOKUP(A25, '1C'!B:Q, 15, 0),)</f>
        <v>DIN</v>
      </c>
      <c r="F25" s="82">
        <f ca="1">IFERROR(
  VLOOKUP(A25, '1C'!B:S, 18, 0),)</f>
        <v>1</v>
      </c>
      <c r="G25" s="83">
        <f ca="1">IFERROR(
  VLOOKUP(A25, '1C'!B:U, 19, 0),)</f>
        <v>0</v>
      </c>
      <c r="H25" s="81" t="str">
        <f ca="1">IFERROR(
  VLOOKUP(A25, '1C'!B:G, 6, 0),)</f>
        <v>NTRV12300</v>
      </c>
      <c r="I25" s="90">
        <f ca="1">IFERROR( VLOOKUP(A25, '1C'!B:I, 8, 0),)</f>
        <v>0</v>
      </c>
      <c r="J25" s="91" t="str">
        <f ca="1">IFERROR(
  VLOOKUP(A25, '1C'!B:H, 7, 0),)</f>
        <v>8536 49 00 90</v>
      </c>
      <c r="K25" s="86"/>
      <c r="L25" s="87" t="str">
        <f ca="1">IFERROR(__xludf.DUMMYFUNCTION("""COMPUTED_VALUE"""),"ДЖЕРЕЛО БЕЗПЕРЕБІЙНОГО ЕЛЕКТРОЖИВЛЕННЯ")</f>
        <v>ДЖЕРЕЛО БЕЗПЕРЕБІЙНОГО ЕЛЕКТРОЖИВЛЕННЯ</v>
      </c>
    </row>
    <row r="26" spans="1:12" ht="14.4">
      <c r="A26" s="88" t="str">
        <f ca="1">IFERROR(__xludf.DUMMYFUNCTION("iferror(IFERROR(
HYPERLINK(
  VLOOKUP(
    INDEX(UNIQUE(FLATTEN({'1C'!$A$2:A200,'1C'!$B$2:B200})), ROW(A24)), 
    '1C'!B:O, 12, 0),
  INDEX(UNIQUE(FLATTEN({'1C'!$A$2:A200,'1C'!$B$2:B200})), ROW(A24))),
MATCH(INDEX(UNIQUE(FLATTEN({'1C'!$A$2:A200,'1C'!$B$2"&amp;":B200})), ROW(A24)), L$3:L200, 0)
),)"),"РЕВ-114")</f>
        <v>РЕВ-114</v>
      </c>
      <c r="B26" s="89">
        <f ca="1">IFERROR(
  VLOOKUP(A26, '1C'!B:D, 3, 0),)</f>
        <v>1045</v>
      </c>
      <c r="C26" s="89">
        <f ca="1">IFERROR(
  VLOOKUP(A26, '1C'!B:Y, 24, 0),)</f>
        <v>1045</v>
      </c>
      <c r="D26" s="80" t="str">
        <f ca="1">IFERROR(
  VLOOKUP(A26, '1C'!B:J, 9, 0),)</f>
        <v>Реле часу, 17 програм, дисплей + клавіші, 220В AC</v>
      </c>
      <c r="E26" s="81" t="str">
        <f ca="1">IFERROR(
  VLOOKUP(A26, '1C'!B:Q, 15, 0),)</f>
        <v>DIN</v>
      </c>
      <c r="F26" s="82">
        <f ca="1">IFERROR(
  VLOOKUP(A26, '1C'!B:S, 18, 0),)</f>
        <v>1</v>
      </c>
      <c r="G26" s="83" t="str">
        <f ca="1">IFERROR(
  VLOOKUP(A26, '1C'!B:U, 19, 0),)</f>
        <v>6А</v>
      </c>
      <c r="H26" s="81" t="str">
        <f ca="1">IFERROR(
  VLOOKUP(A26, '1C'!B:G, 6, 0),)</f>
        <v>NTREV114A</v>
      </c>
      <c r="I26" s="90">
        <f ca="1">IFERROR( VLOOKUP(A26, '1C'!B:I, 8, 0),)</f>
        <v>4820122950504</v>
      </c>
      <c r="J26" s="91" t="str">
        <f ca="1">IFERROR(
  VLOOKUP(A26, '1C'!B:H, 7, 0),)</f>
        <v>8536 49 00 90</v>
      </c>
      <c r="K26" s="86"/>
      <c r="L26" s="87" t="str">
        <f ca="1">IFERROR(__xludf.DUMMYFUNCTION("""COMPUTED_VALUE"""),"ДИСТРИБУЦІЯ")</f>
        <v>ДИСТРИБУЦІЯ</v>
      </c>
    </row>
    <row r="27" spans="1:12" ht="14.4">
      <c r="A27" s="88" t="str">
        <f ca="1">IFERROR(__xludf.DUMMYFUNCTION("iferror(IFERROR(
HYPERLINK(
  VLOOKUP(
    INDEX(UNIQUE(FLATTEN({'1C'!$A$2:A200,'1C'!$B$2:B200})), ROW(A25)), 
    '1C'!B:O, 12, 0),
  INDEX(UNIQUE(FLATTEN({'1C'!$A$2:A200,'1C'!$B$2:B200})), ROW(A25))),
MATCH(INDEX(UNIQUE(FLATTEN({'1C'!$A$2:A200,'1C'!$B$2"&amp;":B200})), ROW(A25)), L$3:L200, 0)
),)"),"РЕВ-114 24V")</f>
        <v>РЕВ-114 24V</v>
      </c>
      <c r="B27" s="89">
        <f ca="1">IFERROR(
  VLOOKUP(A27, '1C'!B:D, 3, 0),)</f>
        <v>880</v>
      </c>
      <c r="C27" s="89">
        <f ca="1">IFERROR(
  VLOOKUP(A27, '1C'!B:Y, 24, 0),)</f>
        <v>880</v>
      </c>
      <c r="D27" s="80" t="str">
        <f ca="1">IFERROR(
  VLOOKUP(A27, '1C'!B:J, 9, 0),)</f>
        <v>Реле часу, 17 програм, дисплей + клавіші, 24В DC</v>
      </c>
      <c r="E27" s="81" t="str">
        <f ca="1">IFERROR(
  VLOOKUP(A27, '1C'!B:Q, 15, 0),)</f>
        <v>DIN</v>
      </c>
      <c r="F27" s="82">
        <f ca="1">IFERROR(
  VLOOKUP(A27, '1C'!B:S, 18, 0),)</f>
        <v>1</v>
      </c>
      <c r="G27" s="83" t="str">
        <f ca="1">IFERROR(
  VLOOKUP(A27, '1C'!B:U, 19, 0),)</f>
        <v>6А</v>
      </c>
      <c r="H27" s="81" t="str">
        <f ca="1">IFERROR(
  VLOOKUP(A27, '1C'!B:G, 6, 0),)</f>
        <v>NTREV114D</v>
      </c>
      <c r="I27" s="90">
        <f ca="1">IFERROR( VLOOKUP(A27, '1C'!B:I, 8, 0),)</f>
        <v>0</v>
      </c>
      <c r="J27" s="91" t="str">
        <f ca="1">IFERROR(
  VLOOKUP(A27, '1C'!B:H, 7, 0),)</f>
        <v>8536 49 00 90</v>
      </c>
      <c r="K27" s="86"/>
      <c r="L27" s="87" t="str">
        <f ca="1">IFERROR(__xludf.DUMMYFUNCTION("""COMPUTED_VALUE"""),"БЛОКИ ЖИВЛЕННЯ")</f>
        <v>БЛОКИ ЖИВЛЕННЯ</v>
      </c>
    </row>
    <row r="28" spans="1:12" ht="26.4">
      <c r="A28" s="88" t="str">
        <f ca="1">IFERROR(__xludf.DUMMYFUNCTION("iferror(IFERROR(
HYPERLINK(
  VLOOKUP(
    INDEX(UNIQUE(FLATTEN({'1C'!$A$2:A200,'1C'!$B$2:B200})), ROW(A26)), 
    '1C'!B:O, 12, 0),
  INDEX(UNIQUE(FLATTEN({'1C'!$A$2:A200,'1C'!$B$2:B200})), ROW(A26))),
MATCH(INDEX(UNIQUE(FLATTEN({'1C'!$A$2:A200,'1C'!$B$2"&amp;":B200})), ROW(A26)), L$3:L200, 0)
),)"),"РЕВ-114Н")</f>
        <v>РЕВ-114Н</v>
      </c>
      <c r="B28" s="89">
        <f ca="1">IFERROR(
  VLOOKUP(A28, '1C'!B:D, 3, 0),)</f>
        <v>1045</v>
      </c>
      <c r="C28" s="89">
        <f ca="1">IFERROR(
  VLOOKUP(A28, '1C'!B:Y, 24, 0),)</f>
        <v>1045</v>
      </c>
      <c r="D28" s="80" t="str">
        <f ca="1">IFERROR(
  VLOOKUP(A28, '1C'!B:J, 9, 0),)</f>
        <v>Реле часу, 17 програм, дисплей + клавіші, універсальне живлення 24В DC та 220В AC</v>
      </c>
      <c r="E28" s="81" t="str">
        <f ca="1">IFERROR(
  VLOOKUP(A28, '1C'!B:Q, 15, 0),)</f>
        <v>DIN</v>
      </c>
      <c r="F28" s="82">
        <f ca="1">IFERROR(
  VLOOKUP(A28, '1C'!B:S, 18, 0),)</f>
        <v>1</v>
      </c>
      <c r="G28" s="83" t="str">
        <f ca="1">IFERROR(
  VLOOKUP(A28, '1C'!B:U, 19, 0),)</f>
        <v>6А</v>
      </c>
      <c r="H28" s="81" t="str">
        <f ca="1">IFERROR(
  VLOOKUP(A28, '1C'!B:G, 6, 0),)</f>
        <v>NTREV114N</v>
      </c>
      <c r="I28" s="90">
        <f ca="1">IFERROR( VLOOKUP(A28, '1C'!B:I, 8, 0),)</f>
        <v>4820122950559</v>
      </c>
      <c r="J28" s="91" t="str">
        <f ca="1">IFERROR(
  VLOOKUP(A28, '1C'!B:H, 7, 0),)</f>
        <v>8536 49 00 90</v>
      </c>
      <c r="K28" s="86"/>
      <c r="L28" s="87" t="str">
        <f ca="1">IFERROR(__xludf.DUMMYFUNCTION("""COMPUTED_VALUE"""),"ШАФИ КЕРУВАННЯ (ПІД ЗАМОВЛЕННЯ)")</f>
        <v>ШАФИ КЕРУВАННЯ (ПІД ЗАМОВЛЕННЯ)</v>
      </c>
    </row>
    <row r="29" spans="1:12" ht="14.4">
      <c r="A29" s="88" t="str">
        <f ca="1">IFERROR(__xludf.DUMMYFUNCTION("iferror(IFERROR(
HYPERLINK(
  VLOOKUP(
    INDEX(UNIQUE(FLATTEN({'1C'!$A$2:A200,'1C'!$B$2:B200})), ROW(A27)), 
    '1C'!B:O, 12, 0),
  INDEX(UNIQUE(FLATTEN({'1C'!$A$2:A200,'1C'!$B$2:B200})), ROW(A27))),
MATCH(INDEX(UNIQUE(FLATTEN({'1C'!$A$2:A200,'1C'!$B$2"&amp;":B200})), ROW(A27)), L$3:L200, 0)
),)"),"РЕВ-120")</f>
        <v>РЕВ-120</v>
      </c>
      <c r="B29" s="89">
        <f ca="1">IFERROR(
  VLOOKUP(A29, '1C'!B:D, 3, 0),)</f>
        <v>970</v>
      </c>
      <c r="C29" s="89">
        <f ca="1">IFERROR(
  VLOOKUP(A29, '1C'!B:Y, 24, 0),)</f>
        <v>970</v>
      </c>
      <c r="D29" s="80" t="str">
        <f ca="1">IFERROR(
  VLOOKUP(A29, '1C'!B:J, 9, 0),)</f>
        <v>Реле часу, 10 програм, потенціометри, 220В AC</v>
      </c>
      <c r="E29" s="81" t="str">
        <f ca="1">IFERROR(
  VLOOKUP(A29, '1C'!B:Q, 15, 0),)</f>
        <v>DIN</v>
      </c>
      <c r="F29" s="82">
        <f ca="1">IFERROR(
  VLOOKUP(A29, '1C'!B:S, 18, 0),)</f>
        <v>1</v>
      </c>
      <c r="G29" s="83" t="str">
        <f ca="1">IFERROR(
  VLOOKUP(A29, '1C'!B:U, 19, 0),)</f>
        <v>6А</v>
      </c>
      <c r="H29" s="81" t="str">
        <f ca="1">IFERROR(
  VLOOKUP(A29, '1C'!B:G, 6, 0),)</f>
        <v>NTREV120A</v>
      </c>
      <c r="I29" s="90">
        <f ca="1">IFERROR( VLOOKUP(A29, '1C'!B:I, 8, 0),)</f>
        <v>4820122950498</v>
      </c>
      <c r="J29" s="91" t="str">
        <f ca="1">IFERROR(
  VLOOKUP(A29, '1C'!B:H, 7, 0),)</f>
        <v>8536 49 00 90</v>
      </c>
      <c r="K29" s="86"/>
      <c r="L29" s="92"/>
    </row>
    <row r="30" spans="1:12" ht="14.4">
      <c r="A30" s="88" t="str">
        <f ca="1">IFERROR(__xludf.DUMMYFUNCTION("iferror(IFERROR(
HYPERLINK(
  VLOOKUP(
    INDEX(UNIQUE(FLATTEN({'1C'!$A$2:A200,'1C'!$B$2:B200})), ROW(A28)), 
    '1C'!B:O, 12, 0),
  INDEX(UNIQUE(FLATTEN({'1C'!$A$2:A200,'1C'!$B$2:B200})), ROW(A28))),
MATCH(INDEX(UNIQUE(FLATTEN({'1C'!$A$2:A200,'1C'!$B$2"&amp;":B200})), ROW(A28)), L$3:L200, 0)
),)"),"РЕВ-120 24V")</f>
        <v>РЕВ-120 24V</v>
      </c>
      <c r="B30" s="89">
        <f ca="1">IFERROR(
  VLOOKUP(A30, '1C'!B:D, 3, 0),)</f>
        <v>815</v>
      </c>
      <c r="C30" s="89">
        <f ca="1">IFERROR(
  VLOOKUP(A30, '1C'!B:Y, 24, 0),)</f>
        <v>815</v>
      </c>
      <c r="D30" s="80" t="str">
        <f ca="1">IFERROR(
  VLOOKUP(A30, '1C'!B:J, 9, 0),)</f>
        <v>Реле часу, 10 програм, потенціометри, 24В DC</v>
      </c>
      <c r="E30" s="81" t="str">
        <f ca="1">IFERROR(
  VLOOKUP(A30, '1C'!B:Q, 15, 0),)</f>
        <v>DIN</v>
      </c>
      <c r="F30" s="82">
        <f ca="1">IFERROR(
  VLOOKUP(A30, '1C'!B:S, 18, 0),)</f>
        <v>1</v>
      </c>
      <c r="G30" s="83" t="str">
        <f ca="1">IFERROR(
  VLOOKUP(A30, '1C'!B:U, 19, 0),)</f>
        <v>6А</v>
      </c>
      <c r="H30" s="81" t="str">
        <f ca="1">IFERROR(
  VLOOKUP(A30, '1C'!B:G, 6, 0),)</f>
        <v>NTREV120D</v>
      </c>
      <c r="I30" s="90">
        <f ca="1">IFERROR( VLOOKUP(A30, '1C'!B:I, 8, 0),)</f>
        <v>0</v>
      </c>
      <c r="J30" s="91" t="str">
        <f ca="1">IFERROR(
  VLOOKUP(A30, '1C'!B:H, 7, 0),)</f>
        <v>8536 49 00 90</v>
      </c>
      <c r="K30" s="86"/>
      <c r="L30" s="92"/>
    </row>
    <row r="31" spans="1:12" ht="14.4">
      <c r="A31" s="88" t="str">
        <f ca="1">IFERROR(__xludf.DUMMYFUNCTION("iferror(IFERROR(
HYPERLINK(
  VLOOKUP(
    INDEX(UNIQUE(FLATTEN({'1C'!$A$2:A200,'1C'!$B$2:B200})), ROW(A29)), 
    '1C'!B:O, 12, 0),
  INDEX(UNIQUE(FLATTEN({'1C'!$A$2:A200,'1C'!$B$2:B200})), ROW(A29))),
MATCH(INDEX(UNIQUE(FLATTEN({'1C'!$A$2:A200,'1C'!$B$2"&amp;":B200})), ROW(A29)), L$3:L200, 0)
),)"),"РЕВ-120Н")</f>
        <v>РЕВ-120Н</v>
      </c>
      <c r="B31" s="89">
        <f ca="1">IFERROR(
  VLOOKUP(A31, '1C'!B:D, 3, 0),)</f>
        <v>970</v>
      </c>
      <c r="C31" s="89">
        <f ca="1">IFERROR(
  VLOOKUP(A31, '1C'!B:Y, 24, 0),)</f>
        <v>970</v>
      </c>
      <c r="D31" s="80" t="str">
        <f ca="1">IFERROR(
  VLOOKUP(A31, '1C'!B:J, 9, 0),)</f>
        <v>Реле часу, 10 програм, потенціометри, універсальне живлення 24В DC та 220В AC</v>
      </c>
      <c r="E31" s="81" t="str">
        <f ca="1">IFERROR(
  VLOOKUP(A31, '1C'!B:Q, 15, 0),)</f>
        <v>DIN</v>
      </c>
      <c r="F31" s="82">
        <f ca="1">IFERROR(
  VLOOKUP(A31, '1C'!B:S, 18, 0),)</f>
        <v>1</v>
      </c>
      <c r="G31" s="83" t="str">
        <f ca="1">IFERROR(
  VLOOKUP(A31, '1C'!B:U, 19, 0),)</f>
        <v>6А</v>
      </c>
      <c r="H31" s="81" t="str">
        <f ca="1">IFERROR(
  VLOOKUP(A31, '1C'!B:G, 6, 0),)</f>
        <v>NTREV120N</v>
      </c>
      <c r="I31" s="90">
        <f ca="1">IFERROR( VLOOKUP(A31, '1C'!B:I, 8, 0),)</f>
        <v>0</v>
      </c>
      <c r="J31" s="91" t="str">
        <f ca="1">IFERROR(
  VLOOKUP(A31, '1C'!B:H, 7, 0),)</f>
        <v>8536 49 00 90</v>
      </c>
      <c r="K31" s="86"/>
      <c r="L31" s="92"/>
    </row>
    <row r="32" spans="1:12" ht="14.4">
      <c r="A32" s="88" t="str">
        <f ca="1">IFERROR(__xludf.DUMMYFUNCTION("iferror(IFERROR(
HYPERLINK(
  VLOOKUP(
    INDEX(UNIQUE(FLATTEN({'1C'!$A$2:A200,'1C'!$B$2:B200})), ROW(A30)), 
    '1C'!B:O, 12, 0),
  INDEX(UNIQUE(FLATTEN({'1C'!$A$2:A200,'1C'!$B$2:B200})), ROW(A30))),
MATCH(INDEX(UNIQUE(FLATTEN({'1C'!$A$2:A200,'1C'!$B$2"&amp;":B200})), ROW(A30)), L$3:L200, 0)
),)"),"ТК-415М")</f>
        <v>ТК-415М</v>
      </c>
      <c r="B32" s="89">
        <f ca="1">IFERROR(
  VLOOKUP(A32, '1C'!B:D, 3, 0),)</f>
        <v>3425</v>
      </c>
      <c r="C32" s="89">
        <f ca="1">IFERROR(
  VLOOKUP(A32, '1C'!B:Y, 24, 0),)</f>
        <v>3425</v>
      </c>
      <c r="D32" s="80" t="str">
        <f ca="1">IFERROR(
  VLOOKUP(A32, '1C'!B:J, 9, 0),)</f>
        <v>Послідовно-комбінаційне реле, 15 каналів, автоматизація процесів</v>
      </c>
      <c r="E32" s="81" t="str">
        <f ca="1">IFERROR(
  VLOOKUP(A32, '1C'!B:Q, 15, 0),)</f>
        <v>DIN</v>
      </c>
      <c r="F32" s="82">
        <f ca="1">IFERROR(
  VLOOKUP(A32, '1C'!B:S, 18, 0),)</f>
        <v>9</v>
      </c>
      <c r="G32" s="83" t="str">
        <f ca="1">IFERROR(
  VLOOKUP(A32, '1C'!B:U, 19, 0),)</f>
        <v>10А</v>
      </c>
      <c r="H32" s="81" t="str">
        <f ca="1">IFERROR(
  VLOOKUP(A32, '1C'!B:G, 6, 0),)</f>
        <v>NTREV415M</v>
      </c>
      <c r="I32" s="90">
        <f ca="1">IFERROR( VLOOKUP(A32, '1C'!B:I, 8, 0),)</f>
        <v>0</v>
      </c>
      <c r="J32" s="91" t="str">
        <f ca="1">IFERROR(
  VLOOKUP(A32, '1C'!B:H, 7, 0),)</f>
        <v>8536 49 00 90</v>
      </c>
      <c r="K32" s="86"/>
      <c r="L32" s="92"/>
    </row>
    <row r="33" spans="1:12" ht="14.4">
      <c r="A33" s="93" t="str">
        <f ca="1">IFERROR(__xludf.DUMMYFUNCTION("iferror(IFERROR(
HYPERLINK(
  VLOOKUP(
    INDEX(UNIQUE(FLATTEN({'1C'!$A$2:A200,'1C'!$B$2:B200})), ROW(A31)), 
    '1C'!B:O, 12, 0),
  INDEX(UNIQUE(FLATTEN({'1C'!$A$2:A200,'1C'!$B$2:B200})), ROW(A31))),
MATCH(INDEX(UNIQUE(FLATTEN({'1C'!$A$2:A200,'1C'!$B$2"&amp;":B200})), ROW(A31)), L$3:L200, 0)
),)"),"ПЕРЕМИКАЧІ ФАЗ")</f>
        <v>ПЕРЕМИКАЧІ ФАЗ</v>
      </c>
      <c r="B33" s="89">
        <f ca="1">IFERROR(
  VLOOKUP(A33, '1C'!B:D, 3, 0),)</f>
        <v>0</v>
      </c>
      <c r="C33" s="89"/>
      <c r="D33" s="80">
        <f ca="1">IFERROR(
  VLOOKUP(A33, '1C'!B:J, 9, 0),)</f>
        <v>0</v>
      </c>
      <c r="E33" s="81">
        <f ca="1">IFERROR(
  VLOOKUP(A33, '1C'!B:Q, 15, 0),)</f>
        <v>0</v>
      </c>
      <c r="F33" s="82">
        <f ca="1">IFERROR(
  VLOOKUP(A33, '1C'!B:S, 18, 0),)</f>
        <v>0</v>
      </c>
      <c r="G33" s="83">
        <f ca="1">IFERROR(
  VLOOKUP(A33, '1C'!B:U, 19, 0),)</f>
        <v>0</v>
      </c>
      <c r="H33" s="81">
        <f ca="1">IFERROR(
  VLOOKUP(A33, '1C'!B:G, 6, 0),)</f>
        <v>0</v>
      </c>
      <c r="I33" s="90">
        <f ca="1">IFERROR( VLOOKUP(A33, '1C'!B:I, 8, 0),)</f>
        <v>0</v>
      </c>
      <c r="J33" s="91">
        <f ca="1">IFERROR(
  VLOOKUP(A33, '1C'!B:H, 7, 0),)</f>
        <v>0</v>
      </c>
      <c r="K33" s="86"/>
      <c r="L33" s="92"/>
    </row>
    <row r="34" spans="1:12" ht="14.4">
      <c r="A34" s="88" t="str">
        <f ca="1">IFERROR(__xludf.DUMMYFUNCTION("iferror(IFERROR(
HYPERLINK(
  VLOOKUP(
    INDEX(UNIQUE(FLATTEN({'1C'!$A$2:A200,'1C'!$B$2:B200})), ROW(A32)), 
    '1C'!B:O, 12, 0),
  INDEX(UNIQUE(FLATTEN({'1C'!$A$2:A200,'1C'!$B$2:B200})), ROW(A32))),
MATCH(INDEX(UNIQUE(FLATTEN({'1C'!$A$2:A200,'1C'!$B$2"&amp;":B200})), ROW(A32)), L$3:L200, 0)
),)"),"ПЕФ-301")</f>
        <v>ПЕФ-301</v>
      </c>
      <c r="B34" s="89">
        <f ca="1">IFERROR(
  VLOOKUP(A34, '1C'!B:D, 3, 0),)</f>
        <v>2175</v>
      </c>
      <c r="C34" s="89">
        <f ca="1">IFERROR(
  VLOOKUP(A34, '1C'!B:Y, 24, 0),)</f>
        <v>2175</v>
      </c>
      <c r="D34" s="80" t="str">
        <f ca="1">IFERROR(
  VLOOKUP(A34, '1C'!B:J, 9, 0),)</f>
        <v>Перемикач фаз, пряме включення або пускачі</v>
      </c>
      <c r="E34" s="81" t="str">
        <f ca="1">IFERROR(
  VLOOKUP(A34, '1C'!B:Q, 15, 0),)</f>
        <v>DIN</v>
      </c>
      <c r="F34" s="82">
        <f ca="1">IFERROR(
  VLOOKUP(A34, '1C'!B:S, 18, 0),)</f>
        <v>4</v>
      </c>
      <c r="G34" s="83" t="str">
        <f ca="1">IFERROR(
  VLOOKUP(A34, '1C'!B:U, 19, 0),)</f>
        <v>16А</v>
      </c>
      <c r="H34" s="81" t="str">
        <f ca="1">IFERROR(
  VLOOKUP(A34, '1C'!B:G, 6, 0),)</f>
        <v>NTPEF3010</v>
      </c>
      <c r="I34" s="90">
        <f ca="1">IFERROR( VLOOKUP(A34, '1C'!B:I, 8, 0),)</f>
        <v>0</v>
      </c>
      <c r="J34" s="91" t="str">
        <f ca="1">IFERROR(
  VLOOKUP(A34, '1C'!B:H, 7, 0),)</f>
        <v>8536 90 95 00</v>
      </c>
      <c r="K34" s="86"/>
      <c r="L34" s="92"/>
    </row>
    <row r="35" spans="1:12" ht="14.4">
      <c r="A35" s="88" t="str">
        <f ca="1">IFERROR(__xludf.DUMMYFUNCTION("iferror(IFERROR(
HYPERLINK(
  VLOOKUP(
    INDEX(UNIQUE(FLATTEN({'1C'!$A$2:A200,'1C'!$B$2:B200})), ROW(A33)), 
    '1C'!B:O, 12, 0),
  INDEX(UNIQUE(FLATTEN({'1C'!$A$2:A200,'1C'!$B$2:B200})), ROW(A33))),
MATCH(INDEX(UNIQUE(FLATTEN({'1C'!$A$2:A200,'1C'!$B$2"&amp;":B200})), ROW(A33)), L$3:L200, 0)
),)"),"ПЕФ-319")</f>
        <v>ПЕФ-319</v>
      </c>
      <c r="B35" s="89">
        <f ca="1">IFERROR(
  VLOOKUP(A35, '1C'!B:D, 3, 0),)</f>
        <v>2945</v>
      </c>
      <c r="C35" s="89">
        <f ca="1">IFERROR(
  VLOOKUP(A35, '1C'!B:Y, 24, 0),)</f>
        <v>2945</v>
      </c>
      <c r="D35" s="80" t="str">
        <f ca="1">IFERROR(
  VLOOKUP(A35, '1C'!B:J, 9, 0),)</f>
        <v>Перемикач фаз, пряме включення або пускачі</v>
      </c>
      <c r="E35" s="81" t="str">
        <f ca="1">IFERROR(
  VLOOKUP(A35, '1C'!B:Q, 15, 0),)</f>
        <v>DIN</v>
      </c>
      <c r="F35" s="82">
        <f ca="1">IFERROR(
  VLOOKUP(A35, '1C'!B:S, 18, 0),)</f>
        <v>9</v>
      </c>
      <c r="G35" s="83" t="str">
        <f ca="1">IFERROR(
  VLOOKUP(A35, '1C'!B:U, 19, 0),)</f>
        <v>32А</v>
      </c>
      <c r="H35" s="81" t="str">
        <f ca="1">IFERROR(
  VLOOKUP(A35, '1C'!B:G, 6, 0),)</f>
        <v>NTPEF3190</v>
      </c>
      <c r="I35" s="90">
        <f ca="1">IFERROR( VLOOKUP(A35, '1C'!B:I, 8, 0),)</f>
        <v>0</v>
      </c>
      <c r="J35" s="91" t="str">
        <f ca="1">IFERROR(
  VLOOKUP(A35, '1C'!B:H, 7, 0),)</f>
        <v>8536 90 95 00</v>
      </c>
      <c r="K35" s="86"/>
      <c r="L35" s="92"/>
    </row>
    <row r="36" spans="1:12" ht="14.4">
      <c r="A36" s="88" t="str">
        <f ca="1">IFERROR(__xludf.DUMMYFUNCTION("iferror(IFERROR(
HYPERLINK(
  VLOOKUP(
    INDEX(UNIQUE(FLATTEN({'1C'!$A$2:A200,'1C'!$B$2:B200})), ROW(A34)), 
    '1C'!B:O, 12, 0),
  INDEX(UNIQUE(FLATTEN({'1C'!$A$2:A200,'1C'!$B$2:B200})), ROW(A34))),
MATCH(INDEX(UNIQUE(FLATTEN({'1C'!$A$2:A200,'1C'!$B$2"&amp;":B200})), ROW(A34)), L$3:L200, 0)
),)"),"ПЕФ-320")</f>
        <v>ПЕФ-320</v>
      </c>
      <c r="B36" s="89">
        <f ca="1">IFERROR(
  VLOOKUP(A36, '1C'!B:D, 3, 0),)</f>
        <v>1995</v>
      </c>
      <c r="C36" s="89">
        <f ca="1">IFERROR(
  VLOOKUP(A36, '1C'!B:Y, 24, 0),)</f>
        <v>1995</v>
      </c>
      <c r="D36" s="80" t="str">
        <f ca="1">IFERROR(
  VLOOKUP(A36, '1C'!B:J, 9, 0),)</f>
        <v>Перемикач фаз, пряме включення</v>
      </c>
      <c r="E36" s="81" t="str">
        <f ca="1">IFERROR(
  VLOOKUP(A36, '1C'!B:Q, 15, 0),)</f>
        <v>DIN</v>
      </c>
      <c r="F36" s="82">
        <f ca="1">IFERROR(
  VLOOKUP(A36, '1C'!B:S, 18, 0),)</f>
        <v>2</v>
      </c>
      <c r="G36" s="83" t="str">
        <f ca="1">IFERROR(
  VLOOKUP(A36, '1C'!B:U, 19, 0),)</f>
        <v>16А</v>
      </c>
      <c r="H36" s="81" t="str">
        <f ca="1">IFERROR(
  VLOOKUP(A36, '1C'!B:G, 6, 0),)</f>
        <v>NTPEF3200</v>
      </c>
      <c r="I36" s="90">
        <f ca="1">IFERROR( VLOOKUP(A36, '1C'!B:I, 8, 0),)</f>
        <v>0</v>
      </c>
      <c r="J36" s="91" t="str">
        <f ca="1">IFERROR(
  VLOOKUP(A36, '1C'!B:H, 7, 0),)</f>
        <v>8536 90 95 00</v>
      </c>
      <c r="K36" s="86"/>
      <c r="L36" s="92"/>
    </row>
    <row r="37" spans="1:12" ht="14.4">
      <c r="A37" s="93" t="str">
        <f ca="1">IFERROR(__xludf.DUMMYFUNCTION("iferror(IFERROR(
HYPERLINK(
  VLOOKUP(
    INDEX(UNIQUE(FLATTEN({'1C'!$A$2:A200,'1C'!$B$2:B200})), ROW(A35)), 
    '1C'!B:O, 12, 0),
  INDEX(UNIQUE(FLATTEN({'1C'!$A$2:A200,'1C'!$B$2:B200})), ROW(A35))),
MATCH(INDEX(UNIQUE(FLATTEN({'1C'!$A$2:A200,'1C'!$B$2"&amp;":B200})), ROW(A35)), L$3:L200, 0)
),)"),"PEF-305")</f>
        <v>PEF-305</v>
      </c>
      <c r="B37" s="89" t="str">
        <f ca="1">IFERROR(
  VLOOKUP(A37, '1C'!B:D, 3, 0),)</f>
        <v>-</v>
      </c>
      <c r="C37" s="89" t="str">
        <f ca="1">IFERROR(
  VLOOKUP(A37, '1C'!B:Y, 24, 0),)</f>
        <v>-</v>
      </c>
      <c r="D37" s="80" t="str">
        <f ca="1">IFERROR(
  VLOOKUP(A37, '1C'!B:J, 9, 0),)</f>
        <v>-</v>
      </c>
      <c r="E37" s="81" t="str">
        <f ca="1">IFERROR(
  VLOOKUP(A37, '1C'!B:Q, 15, 0),)</f>
        <v>DIN</v>
      </c>
      <c r="F37" s="82">
        <f ca="1">IFERROR(
  VLOOKUP(A37, '1C'!B:S, 18, 0),)</f>
        <v>2</v>
      </c>
      <c r="G37" s="83" t="str">
        <f ca="1">IFERROR(
  VLOOKUP(A37, '1C'!B:U, 19, 0),)</f>
        <v>16А</v>
      </c>
      <c r="H37" s="81" t="str">
        <f ca="1">IFERROR(
  VLOOKUP(A37, '1C'!B:G, 6, 0),)</f>
        <v>-</v>
      </c>
      <c r="I37" s="90">
        <f ca="1">IFERROR( VLOOKUP(A37, '1C'!B:I, 8, 0),)</f>
        <v>0</v>
      </c>
      <c r="J37" s="91" t="str">
        <f ca="1">IFERROR(
  VLOOKUP(A37, '1C'!B:H, 7, 0),)</f>
        <v>-</v>
      </c>
      <c r="K37" s="86"/>
      <c r="L37" s="92"/>
    </row>
    <row r="38" spans="1:12" ht="14.4">
      <c r="A38" s="93" t="str">
        <f ca="1">IFERROR(__xludf.DUMMYFUNCTION("iferror(IFERROR(
HYPERLINK(
  VLOOKUP(
    INDEX(UNIQUE(FLATTEN({'1C'!$A$2:A200,'1C'!$B$2:B200})), ROW(A36)), 
    '1C'!B:O, 12, 0),
  INDEX(UNIQUE(FLATTEN({'1C'!$A$2:A200,'1C'!$B$2:B200})), ROW(A36))),
MATCH(INDEX(UNIQUE(FLATTEN({'1C'!$A$2:A200,'1C'!$B$2"&amp;":B200})), ROW(A36)), L$3:L200, 0)
),)"),"БЛОКИ ЗАХИСТУ ЕЛЕКТРОДВИГУНІВ")</f>
        <v>БЛОКИ ЗАХИСТУ ЕЛЕКТРОДВИГУНІВ</v>
      </c>
      <c r="B38" s="89">
        <f ca="1">IFERROR(
  VLOOKUP(A38, '1C'!B:D, 3, 0),)</f>
        <v>0</v>
      </c>
      <c r="C38" s="89"/>
      <c r="D38" s="80">
        <f ca="1">IFERROR(
  VLOOKUP(A38, '1C'!B:J, 9, 0),)</f>
        <v>0</v>
      </c>
      <c r="E38" s="81">
        <f ca="1">IFERROR(
  VLOOKUP(A38, '1C'!B:Q, 15, 0),)</f>
        <v>0</v>
      </c>
      <c r="F38" s="82">
        <f ca="1">IFERROR(
  VLOOKUP(A38, '1C'!B:S, 18, 0),)</f>
        <v>0</v>
      </c>
      <c r="G38" s="83">
        <f ca="1">IFERROR(
  VLOOKUP(A38, '1C'!B:U, 19, 0),)</f>
        <v>0</v>
      </c>
      <c r="H38" s="81">
        <f ca="1">IFERROR(
  VLOOKUP(A38, '1C'!B:G, 6, 0),)</f>
        <v>0</v>
      </c>
      <c r="I38" s="90">
        <f ca="1">IFERROR( VLOOKUP(A38, '1C'!B:I, 8, 0),)</f>
        <v>0</v>
      </c>
      <c r="J38" s="91">
        <f ca="1">IFERROR(
  VLOOKUP(A38, '1C'!B:H, 7, 0),)</f>
        <v>0</v>
      </c>
      <c r="K38" s="86"/>
      <c r="L38" s="92"/>
    </row>
    <row r="39" spans="1:12" ht="14.4">
      <c r="A39" s="88" t="str">
        <f ca="1">IFERROR(__xludf.DUMMYFUNCTION("iferror(IFERROR(
HYPERLINK(
  VLOOKUP(
    INDEX(UNIQUE(FLATTEN({'1C'!$A$2:A200,'1C'!$B$2:B200})), ROW(A37)), 
    '1C'!B:O, 12, 0),
  INDEX(UNIQUE(FLATTEN({'1C'!$A$2:A200,'1C'!$B$2:B200})), ROW(A37))),
MATCH(INDEX(UNIQUE(FLATTEN({'1C'!$A$2:A200,'1C'!$B$2"&amp;":B200})), ROW(A37)), L$3:L200, 0)
),)"),"УБЗ-301 5-50 А")</f>
        <v>УБЗ-301 5-50 А</v>
      </c>
      <c r="B39" s="89">
        <f ca="1">IFERROR(
  VLOOKUP(A39, '1C'!B:D, 3, 0),)</f>
        <v>3115</v>
      </c>
      <c r="C39" s="89">
        <f ca="1">IFERROR(
  VLOOKUP(A39, '1C'!B:Y, 24, 0),)</f>
        <v>3430</v>
      </c>
      <c r="D39" s="80" t="str">
        <f ca="1">IFERROR(
  VLOOKUP(A39, '1C'!B:J, 9, 0),)</f>
        <v>Захист по струму, напрузі, перевантаженню, перегріву двигуна, Т/С в комплекті</v>
      </c>
      <c r="E39" s="81" t="str">
        <f ca="1">IFERROR(
  VLOOKUP(A39, '1C'!B:Q, 15, 0),)</f>
        <v>DIN</v>
      </c>
      <c r="F39" s="82">
        <f ca="1">IFERROR(
  VLOOKUP(A39, '1C'!B:S, 18, 0),)</f>
        <v>4</v>
      </c>
      <c r="G39" s="83" t="str">
        <f ca="1">IFERROR(
  VLOOKUP(A39, '1C'!B:U, 19, 0),)</f>
        <v>5-50А, Пускач (реле 16А)</v>
      </c>
      <c r="H39" s="81" t="str">
        <f ca="1">IFERROR(
  VLOOKUP(A39, '1C'!B:G, 6, 0),)</f>
        <v>NTBZ30105</v>
      </c>
      <c r="I39" s="90">
        <f ca="1">IFERROR( VLOOKUP(A39, '1C'!B:I, 8, 0),)</f>
        <v>0</v>
      </c>
      <c r="J39" s="91" t="str">
        <f ca="1">IFERROR(
  VLOOKUP(A39, '1C'!B:H, 7, 0),)</f>
        <v>8536 90 95 00</v>
      </c>
      <c r="K39" s="86"/>
      <c r="L39" s="92"/>
    </row>
    <row r="40" spans="1:12" ht="14.4">
      <c r="A40" s="88" t="str">
        <f ca="1">IFERROR(__xludf.DUMMYFUNCTION("iferror(IFERROR(
HYPERLINK(
  VLOOKUP(
    INDEX(UNIQUE(FLATTEN({'1C'!$A$2:A200,'1C'!$B$2:B200})), ROW(A38)), 
    '1C'!B:O, 12, 0),
  INDEX(UNIQUE(FLATTEN({'1C'!$A$2:A200,'1C'!$B$2:B200})), ROW(A38))),
MATCH(INDEX(UNIQUE(FLATTEN({'1C'!$A$2:A200,'1C'!$B$2"&amp;":B200})), ROW(A38)), L$3:L200, 0)
),)"),"УБЗ-301 10-100 А")</f>
        <v>УБЗ-301 10-100 А</v>
      </c>
      <c r="B40" s="89">
        <f ca="1">IFERROR(
  VLOOKUP(A40, '1C'!B:D, 3, 0),)</f>
        <v>3495</v>
      </c>
      <c r="C40" s="89">
        <f ca="1">IFERROR(
  VLOOKUP(A40, '1C'!B:Y, 24, 0),)</f>
        <v>3845</v>
      </c>
      <c r="D40" s="80" t="str">
        <f ca="1">IFERROR(
  VLOOKUP(A40, '1C'!B:J, 9, 0),)</f>
        <v>Захист по струму, напрузі, перевантаженню, перегріву двигуна, Т/С в комплекті</v>
      </c>
      <c r="E40" s="81" t="str">
        <f ca="1">IFERROR(
  VLOOKUP(A40, '1C'!B:Q, 15, 0),)</f>
        <v>DIN</v>
      </c>
      <c r="F40" s="82">
        <f ca="1">IFERROR(
  VLOOKUP(A40, '1C'!B:S, 18, 0),)</f>
        <v>4</v>
      </c>
      <c r="G40" s="83" t="str">
        <f ca="1">IFERROR(
  VLOOKUP(A40, '1C'!B:U, 19, 0),)</f>
        <v>10-100А, Пускач</v>
      </c>
      <c r="H40" s="81" t="str">
        <f ca="1">IFERROR(
  VLOOKUP(A40, '1C'!B:G, 6, 0),)</f>
        <v>NTBZ30110</v>
      </c>
      <c r="I40" s="90">
        <f ca="1">IFERROR( VLOOKUP(A40, '1C'!B:I, 8, 0),)</f>
        <v>0</v>
      </c>
      <c r="J40" s="91" t="str">
        <f ca="1">IFERROR(
  VLOOKUP(A40, '1C'!B:H, 7, 0),)</f>
        <v>8536 90 95 00</v>
      </c>
      <c r="K40" s="86"/>
      <c r="L40" s="92"/>
    </row>
    <row r="41" spans="1:12" ht="14.4">
      <c r="A41" s="88" t="str">
        <f ca="1">IFERROR(__xludf.DUMMYFUNCTION("iferror(IFERROR(
HYPERLINK(
  VLOOKUP(
    INDEX(UNIQUE(FLATTEN({'1C'!$A$2:A200,'1C'!$B$2:B200})), ROW(A39)), 
    '1C'!B:O, 12, 0),
  INDEX(UNIQUE(FLATTEN({'1C'!$A$2:A200,'1C'!$B$2:B200})), ROW(A39))),
MATCH(INDEX(UNIQUE(FLATTEN({'1C'!$A$2:A200,'1C'!$B$2"&amp;":B200})), ROW(A39)), L$3:L200, 0)
),)"),"УБЗ-301 63-630 А")</f>
        <v>УБЗ-301 63-630 А</v>
      </c>
      <c r="B41" s="89">
        <f ca="1">IFERROR(
  VLOOKUP(A41, '1C'!B:D, 3, 0),)</f>
        <v>3925</v>
      </c>
      <c r="C41" s="89">
        <f ca="1">IFERROR(
  VLOOKUP(A41, '1C'!B:Y, 24, 0),)</f>
        <v>4320</v>
      </c>
      <c r="D41" s="80" t="str">
        <f ca="1">IFERROR(
  VLOOKUP(A41, '1C'!B:J, 9, 0),)</f>
        <v>Захист по струму, напрузі, перевантаженню, перегріву двигуна, Т/С в комплекті</v>
      </c>
      <c r="E41" s="81" t="str">
        <f ca="1">IFERROR(
  VLOOKUP(A41, '1C'!B:Q, 15, 0),)</f>
        <v>DIN</v>
      </c>
      <c r="F41" s="82">
        <f ca="1">IFERROR(
  VLOOKUP(A41, '1C'!B:S, 18, 0),)</f>
        <v>4</v>
      </c>
      <c r="G41" s="83" t="str">
        <f ca="1">IFERROR(
  VLOOKUP(A41, '1C'!B:U, 19, 0),)</f>
        <v>63-630А, Пускач</v>
      </c>
      <c r="H41" s="81" t="str">
        <f ca="1">IFERROR(
  VLOOKUP(A41, '1C'!B:G, 6, 0),)</f>
        <v>NTBZ30163</v>
      </c>
      <c r="I41" s="90">
        <f ca="1">IFERROR( VLOOKUP(A41, '1C'!B:I, 8, 0),)</f>
        <v>0</v>
      </c>
      <c r="J41" s="91" t="str">
        <f ca="1">IFERROR(
  VLOOKUP(A41, '1C'!B:H, 7, 0),)</f>
        <v>8536 90 95 00</v>
      </c>
      <c r="K41" s="86"/>
      <c r="L41" s="92"/>
    </row>
    <row r="42" spans="1:12" ht="26.4">
      <c r="A42" s="88" t="str">
        <f ca="1">IFERROR(__xludf.DUMMYFUNCTION("iferror(IFERROR(
HYPERLINK(
  VLOOKUP(
    INDEX(UNIQUE(FLATTEN({'1C'!$A$2:A200,'1C'!$B$2:B200})), ROW(A40)), 
    '1C'!B:O, 12, 0),
  INDEX(UNIQUE(FLATTEN({'1C'!$A$2:A200,'1C'!$B$2:B200})), ROW(A40))),
MATCH(INDEX(UNIQUE(FLATTEN({'1C'!$A$2:A200,'1C'!$B$2"&amp;":B200})), ROW(A40)), L$3:L200, 0)
),)"),"УБЗ-301-01 5-50 А")</f>
        <v>УБЗ-301-01 5-50 А</v>
      </c>
      <c r="B42" s="89">
        <f ca="1">IFERROR(
  VLOOKUP(A42, '1C'!B:D, 3, 0),)</f>
        <v>3495</v>
      </c>
      <c r="C42" s="89">
        <f ca="1">IFERROR(
  VLOOKUP(A42, '1C'!B:Y, 24, 0),)</f>
        <v>3845</v>
      </c>
      <c r="D42" s="80" t="str">
        <f ca="1">IFERROR(
  VLOOKUP(A42, '1C'!B:J, 9, 0),)</f>
        <v>Захист по струму, напрузі, перевантаженню, перегріву ліфтового двигуна, Т/С в комплекті</v>
      </c>
      <c r="E42" s="81" t="str">
        <f ca="1">IFERROR(
  VLOOKUP(A42, '1C'!B:Q, 15, 0),)</f>
        <v>DIN</v>
      </c>
      <c r="F42" s="82">
        <f ca="1">IFERROR(
  VLOOKUP(A42, '1C'!B:S, 18, 0),)</f>
        <v>4</v>
      </c>
      <c r="G42" s="83" t="str">
        <f ca="1">IFERROR(
  VLOOKUP(A42, '1C'!B:U, 19, 0),)</f>
        <v>5-50А, Пускач</v>
      </c>
      <c r="H42" s="81" t="str">
        <f ca="1">IFERROR(
  VLOOKUP(A42, '1C'!B:G, 6, 0),)</f>
        <v>NTBZ30101</v>
      </c>
      <c r="I42" s="90">
        <f ca="1">IFERROR( VLOOKUP(A42, '1C'!B:I, 8, 0),)</f>
        <v>0</v>
      </c>
      <c r="J42" s="91" t="str">
        <f ca="1">IFERROR(
  VLOOKUP(A42, '1C'!B:H, 7, 0),)</f>
        <v>8536 90 95 00</v>
      </c>
      <c r="K42" s="86"/>
      <c r="L42" s="92"/>
    </row>
    <row r="43" spans="1:12" ht="26.4">
      <c r="A43" s="88" t="str">
        <f ca="1">IFERROR(__xludf.DUMMYFUNCTION("iferror(IFERROR(
HYPERLINK(
  VLOOKUP(
    INDEX(UNIQUE(FLATTEN({'1C'!$A$2:A200,'1C'!$B$2:B200})), ROW(A41)), 
    '1C'!B:O, 12, 0),
  INDEX(UNIQUE(FLATTEN({'1C'!$A$2:A200,'1C'!$B$2:B200})), ROW(A41))),
MATCH(INDEX(UNIQUE(FLATTEN({'1C'!$A$2:A200,'1C'!$B$2"&amp;":B200})), ROW(A41)), L$3:L200, 0)
),)"),"УБЗ-302 (М)")</f>
        <v>УБЗ-302 (М)</v>
      </c>
      <c r="B43" s="89">
        <f ca="1">IFERROR(
  VLOOKUP(A43, '1C'!B:D, 3, 0),)</f>
        <v>5225</v>
      </c>
      <c r="C43" s="89">
        <f ca="1">IFERROR(
  VLOOKUP(A43, '1C'!B:Y, 24, 0),)</f>
        <v>5750</v>
      </c>
      <c r="D43" s="80" t="str">
        <f ca="1">IFERROR(
  VLOOKUP(A43, '1C'!B:J, 9, 0),)</f>
        <v>Захист по струму, напрузі, перевантаженню, перегріву двигуна, Т/С вбудовані або зовнішні х/5 до 315 кВт, ModBus</v>
      </c>
      <c r="E43" s="81" t="str">
        <f ca="1">IFERROR(
  VLOOKUP(A43, '1C'!B:Q, 15, 0),)</f>
        <v>DIN</v>
      </c>
      <c r="F43" s="82">
        <f ca="1">IFERROR(
  VLOOKUP(A43, '1C'!B:S, 18, 0),)</f>
        <v>9</v>
      </c>
      <c r="G43" s="83" t="str">
        <f ca="1">IFERROR(
  VLOOKUP(A43, '1C'!B:U, 19, 0),)</f>
        <v>5-630А, Пускач</v>
      </c>
      <c r="H43" s="81" t="str">
        <f ca="1">IFERROR(
  VLOOKUP(A43, '1C'!B:G, 6, 0),)</f>
        <v>NTBZ302M0</v>
      </c>
      <c r="I43" s="90">
        <f ca="1">IFERROR( VLOOKUP(A43, '1C'!B:I, 8, 0),)</f>
        <v>0</v>
      </c>
      <c r="J43" s="91" t="str">
        <f ca="1">IFERROR(
  VLOOKUP(A43, '1C'!B:H, 7, 0),)</f>
        <v>8536 90 95 00</v>
      </c>
      <c r="K43" s="86"/>
      <c r="L43" s="92"/>
    </row>
    <row r="44" spans="1:12" ht="26.4">
      <c r="A44" s="88" t="str">
        <f ca="1">IFERROR(__xludf.DUMMYFUNCTION("iferror(IFERROR(
HYPERLINK(
  VLOOKUP(
    INDEX(UNIQUE(FLATTEN({'1C'!$A$2:A200,'1C'!$B$2:B200})), ROW(A42)), 
    '1C'!B:O, 12, 0),
  INDEX(UNIQUE(FLATTEN({'1C'!$A$2:A200,'1C'!$B$2:B200})), ROW(A42))),
MATCH(INDEX(UNIQUE(FLATTEN({'1C'!$A$2:A200,'1C'!$B$2"&amp;":B200})), ROW(A42)), L$3:L200, 0)
),)"),"УБЗ-302-01")</f>
        <v>УБЗ-302-01</v>
      </c>
      <c r="B44" s="89">
        <f ca="1">IFERROR(
  VLOOKUP(A44, '1C'!B:D, 3, 0),)</f>
        <v>5570</v>
      </c>
      <c r="C44" s="89">
        <f ca="1">IFERROR(
  VLOOKUP(A44, '1C'!B:Y, 24, 0),)</f>
        <v>6130</v>
      </c>
      <c r="D44" s="80" t="str">
        <f ca="1">IFERROR(
  VLOOKUP(A44, '1C'!B:J, 9, 0),)</f>
        <v>Захист по струму, напрузі, перевантаженню, перегріву ліфтового двигуна до 50 А, Т/С вбудовані, ModBus</v>
      </c>
      <c r="E44" s="81" t="str">
        <f ca="1">IFERROR(
  VLOOKUP(A44, '1C'!B:Q, 15, 0),)</f>
        <v>DIN</v>
      </c>
      <c r="F44" s="82">
        <f ca="1">IFERROR(
  VLOOKUP(A44, '1C'!B:S, 18, 0),)</f>
        <v>9</v>
      </c>
      <c r="G44" s="83" t="str">
        <f ca="1">IFERROR(
  VLOOKUP(A44, '1C'!B:U, 19, 0),)</f>
        <v>5-630А, Пускач</v>
      </c>
      <c r="H44" s="81" t="str">
        <f ca="1">IFERROR(
  VLOOKUP(A44, '1C'!B:G, 6, 0),)</f>
        <v>NTBZ30201</v>
      </c>
      <c r="I44" s="90">
        <f ca="1">IFERROR( VLOOKUP(A44, '1C'!B:I, 8, 0),)</f>
        <v>0</v>
      </c>
      <c r="J44" s="91" t="str">
        <f ca="1">IFERROR(
  VLOOKUP(A44, '1C'!B:H, 7, 0),)</f>
        <v>8536 90 95 00</v>
      </c>
      <c r="K44" s="86"/>
      <c r="L44" s="92"/>
    </row>
    <row r="45" spans="1:12" ht="26.4">
      <c r="A45" s="88" t="str">
        <f ca="1">IFERROR(__xludf.DUMMYFUNCTION("iferror(IFERROR(
HYPERLINK(
  VLOOKUP(
    INDEX(UNIQUE(FLATTEN({'1C'!$A$2:A200,'1C'!$B$2:B200})), ROW(A43)), 
    '1C'!B:O, 12, 0),
  INDEX(UNIQUE(FLATTEN({'1C'!$A$2:A200,'1C'!$B$2:B200})), ROW(A43))),
MATCH(INDEX(UNIQUE(FLATTEN({'1C'!$A$2:A200,'1C'!$B$2"&amp;":B200})), ROW(A43)), L$3:L200, 0)
),)"),"УБЗ-302-02")</f>
        <v>УБЗ-302-02</v>
      </c>
      <c r="B45" s="89">
        <f ca="1">IFERROR(
  VLOOKUP(A45, '1C'!B:D, 3, 0),)</f>
        <v>5570</v>
      </c>
      <c r="C45" s="89">
        <f ca="1">IFERROR(
  VLOOKUP(A45, '1C'!B:Y, 24, 0),)</f>
        <v>6130</v>
      </c>
      <c r="D45" s="80" t="str">
        <f ca="1">IFERROR(
  VLOOKUP(A45, '1C'!B:J, 9, 0),)</f>
        <v>Захист по струму, напрузі, перевантаженню, перегріву малопотужного двигуна від 0,25 кВт до 3,3 кВт, Т/С вбудовані, ModBus</v>
      </c>
      <c r="E45" s="81" t="str">
        <f ca="1">IFERROR(
  VLOOKUP(A45, '1C'!B:Q, 15, 0),)</f>
        <v>DIN</v>
      </c>
      <c r="F45" s="82">
        <f ca="1">IFERROR(
  VLOOKUP(A45, '1C'!B:S, 18, 0),)</f>
        <v>9</v>
      </c>
      <c r="G45" s="83" t="str">
        <f ca="1">IFERROR(
  VLOOKUP(A45, '1C'!B:U, 19, 0),)</f>
        <v>0,25кВт-3,3кВт, Пускач</v>
      </c>
      <c r="H45" s="81" t="str">
        <f ca="1">IFERROR(
  VLOOKUP(A45, '1C'!B:G, 6, 0),)</f>
        <v>NTBZ30202</v>
      </c>
      <c r="I45" s="90">
        <f ca="1">IFERROR( VLOOKUP(A45, '1C'!B:I, 8, 0),)</f>
        <v>0</v>
      </c>
      <c r="J45" s="91" t="str">
        <f ca="1">IFERROR(
  VLOOKUP(A45, '1C'!B:H, 7, 0),)</f>
        <v>8536 90 95 00</v>
      </c>
      <c r="K45" s="86"/>
      <c r="L45" s="92"/>
    </row>
    <row r="46" spans="1:12" ht="26.4">
      <c r="A46" s="88" t="str">
        <f ca="1">IFERROR(__xludf.DUMMYFUNCTION("iferror(IFERROR(
HYPERLINK(
  VLOOKUP(
    INDEX(UNIQUE(FLATTEN({'1C'!$A$2:A200,'1C'!$B$2:B200})), ROW(A44)), 
    '1C'!B:O, 12, 0),
  INDEX(UNIQUE(FLATTEN({'1C'!$A$2:A200,'1C'!$B$2:B200})), ROW(A44))),
MATCH(INDEX(UNIQUE(FLATTEN({'1C'!$A$2:A200,'1C'!$B$2"&amp;":B200})), ROW(A44)), L$3:L200, 0)
),)"),"УБЗ-305 (М)")</f>
        <v>УБЗ-305 (М)</v>
      </c>
      <c r="B46" s="89">
        <f ca="1">IFERROR(
  VLOOKUP(A46, '1C'!B:D, 3, 0),)</f>
        <v>6980</v>
      </c>
      <c r="C46" s="89">
        <f ca="1">IFERROR(
  VLOOKUP(A46, '1C'!B:Y, 24, 0),)</f>
        <v>7680</v>
      </c>
      <c r="D46" s="80" t="str">
        <f ca="1">IFERROR(
  VLOOKUP(A46, '1C'!B:J, 9, 0),)</f>
        <v>Ном. струм до 315 кВт, Т/С в комплект не входять, лічильник мотто-годин та електроенергії, ж/к-екран, DIN-рейка, ModBus</v>
      </c>
      <c r="E46" s="81" t="str">
        <f ca="1">IFERROR(
  VLOOKUP(A46, '1C'!B:Q, 15, 0),)</f>
        <v>DIN</v>
      </c>
      <c r="F46" s="82">
        <f ca="1">IFERROR(
  VLOOKUP(A46, '1C'!B:S, 18, 0),)</f>
        <v>9</v>
      </c>
      <c r="G46" s="83" t="str">
        <f ca="1">IFERROR(
  VLOOKUP(A46, '1C'!B:U, 19, 0),)</f>
        <v>5-630А, Пускач</v>
      </c>
      <c r="H46" s="81" t="str">
        <f ca="1">IFERROR(
  VLOOKUP(A46, '1C'!B:G, 6, 0),)</f>
        <v>NTBZ305M0</v>
      </c>
      <c r="I46" s="90">
        <f ca="1">IFERROR( VLOOKUP(A46, '1C'!B:I, 8, 0),)</f>
        <v>0</v>
      </c>
      <c r="J46" s="91" t="str">
        <f ca="1">IFERROR(
  VLOOKUP(A46, '1C'!B:H, 7, 0),)</f>
        <v>8536 90 95 00</v>
      </c>
      <c r="K46" s="86"/>
      <c r="L46" s="92"/>
    </row>
    <row r="47" spans="1:12" ht="26.4">
      <c r="A47" s="88" t="str">
        <f ca="1">IFERROR(__xludf.DUMMYFUNCTION("iferror(IFERROR(
HYPERLINK(
  VLOOKUP(
    INDEX(UNIQUE(FLATTEN({'1C'!$A$2:A200,'1C'!$B$2:B200})), ROW(A45)), 
    '1C'!B:O, 12, 0),
  INDEX(UNIQUE(FLATTEN({'1C'!$A$2:A200,'1C'!$B$2:B200})), ROW(A45))),
MATCH(INDEX(UNIQUE(FLATTEN({'1C'!$A$2:A200,'1C'!$B$2"&amp;":B200})), ROW(A45)), L$3:L200, 0)
),)"),"УБЗ-304")</f>
        <v>УБЗ-304</v>
      </c>
      <c r="B47" s="89">
        <f ca="1">IFERROR(
  VLOOKUP(A47, '1C'!B:D, 3, 0),)</f>
        <v>7150</v>
      </c>
      <c r="C47" s="89">
        <f ca="1">IFERROR(
  VLOOKUP(A47, '1C'!B:Y, 24, 0),)</f>
        <v>7865</v>
      </c>
      <c r="D47" s="80" t="str">
        <f ca="1">IFERROR(
  VLOOKUP(A47, '1C'!B:J, 9, 0),)</f>
        <v>Ном. струм до 315 кВт, Т/С в комплект не входять, лічильник мотто-годин та електроенергії, ж/к-екран, щитове виконання, ModBus</v>
      </c>
      <c r="E47" s="81" t="str">
        <f ca="1">IFERROR(
  VLOOKUP(A47, '1C'!B:Q, 15, 0),)</f>
        <v>Щит</v>
      </c>
      <c r="F47" s="82" t="str">
        <f ca="1">IFERROR(
  VLOOKUP(A47, '1C'!B:S, 18, 0),)</f>
        <v>-</v>
      </c>
      <c r="G47" s="83" t="str">
        <f ca="1">IFERROR(
  VLOOKUP(A47, '1C'!B:U, 19, 0),)</f>
        <v>5-630А, Пускач</v>
      </c>
      <c r="H47" s="81" t="str">
        <f ca="1">IFERROR(
  VLOOKUP(A47, '1C'!B:G, 6, 0),)</f>
        <v>NTBZ30400</v>
      </c>
      <c r="I47" s="90">
        <f ca="1">IFERROR( VLOOKUP(A47, '1C'!B:I, 8, 0),)</f>
        <v>0</v>
      </c>
      <c r="J47" s="91" t="str">
        <f ca="1">IFERROR(
  VLOOKUP(A47, '1C'!B:H, 7, 0),)</f>
        <v>8536 90 95 00</v>
      </c>
      <c r="K47" s="86"/>
      <c r="L47" s="92"/>
    </row>
    <row r="48" spans="1:12" ht="26.4">
      <c r="A48" s="93" t="str">
        <f ca="1">IFERROR(__xludf.DUMMYFUNCTION("iferror(IFERROR(
HYPERLINK(
  VLOOKUP(
    INDEX(UNIQUE(FLATTEN({'1C'!$A$2:A200,'1C'!$B$2:B200})), ROW(A46)), 
    '1C'!B:O, 12, 0),
  INDEX(UNIQUE(FLATTEN({'1C'!$A$2:A200,'1C'!$B$2:B200})), ROW(A46))),
MATCH(INDEX(UNIQUE(FLATTEN({'1C'!$A$2:A200,'1C'!$B$2"&amp;":B200})), ROW(A46)), L$3:L200, 0)
),)"),"УБЗ-306 (М)")</f>
        <v>УБЗ-306 (М)</v>
      </c>
      <c r="B48" s="89">
        <f ca="1">IFERROR(
  VLOOKUP(A48, '1C'!B:D, 3, 0),)</f>
        <v>6980</v>
      </c>
      <c r="C48" s="89">
        <f ca="1">IFERROR(
  VLOOKUP(A48, '1C'!B:Y, 24, 0),)</f>
        <v>7680</v>
      </c>
      <c r="D48" s="80" t="str">
        <f ca="1">IFERROR(
  VLOOKUP(A48, '1C'!B:J, 9, 0),)</f>
        <v>Ном. струм до 315 кВт, Т/С в комплект не входять, для станка - гойдалки ж/к-екран, DIN-рейка, ModBus</v>
      </c>
      <c r="E48" s="81" t="str">
        <f ca="1">IFERROR(
  VLOOKUP(A48, '1C'!B:Q, 15, 0),)</f>
        <v>DIN</v>
      </c>
      <c r="F48" s="82">
        <f ca="1">IFERROR(
  VLOOKUP(A48, '1C'!B:S, 18, 0),)</f>
        <v>9</v>
      </c>
      <c r="G48" s="83" t="str">
        <f ca="1">IFERROR(
  VLOOKUP(A48, '1C'!B:U, 19, 0),)</f>
        <v>5-630А, Contactor</v>
      </c>
      <c r="H48" s="81" t="str">
        <f ca="1">IFERROR(
  VLOOKUP(A48, '1C'!B:G, 6, 0),)</f>
        <v>NTBZ30600</v>
      </c>
      <c r="I48" s="90">
        <f ca="1">IFERROR( VLOOKUP(A48, '1C'!B:I, 8, 0),)</f>
        <v>0</v>
      </c>
      <c r="J48" s="91" t="str">
        <f ca="1">IFERROR(
  VLOOKUP(A48, '1C'!B:H, 7, 0),)</f>
        <v>8536 90 95 00</v>
      </c>
      <c r="K48" s="86"/>
      <c r="L48" s="92"/>
    </row>
    <row r="49" spans="1:12" ht="14.4">
      <c r="A49" s="88" t="str">
        <f ca="1">IFERROR(__xludf.DUMMYFUNCTION("iferror(IFERROR(
HYPERLINK(
  VLOOKUP(
    INDEX(UNIQUE(FLATTEN({'1C'!$A$2:A200,'1C'!$B$2:B200})), ROW(A47)), 
    '1C'!B:O, 12, 0),
  INDEX(UNIQUE(FLATTEN({'1C'!$A$2:A200,'1C'!$B$2:B200})), ROW(A47))),
MATCH(INDEX(UNIQUE(FLATTEN({'1C'!$A$2:A200,'1C'!$B$2"&amp;":B200})), ROW(A47)), L$3:L200, 0)
),)"),"УБЗ-115")</f>
        <v>УБЗ-115</v>
      </c>
      <c r="B49" s="89">
        <f ca="1">IFERROR(
  VLOOKUP(A49, '1C'!B:D, 3, 0),)</f>
        <v>2690</v>
      </c>
      <c r="C49" s="89">
        <f ca="1">IFERROR(
  VLOOKUP(A49, '1C'!B:Y, 24, 0),)</f>
        <v>2690</v>
      </c>
      <c r="D49" s="80" t="str">
        <f ca="1">IFERROR(
  VLOOKUP(A49, '1C'!B:J, 9, 0),)</f>
        <v>Захист однофазних двигунів</v>
      </c>
      <c r="E49" s="81" t="str">
        <f ca="1">IFERROR(
  VLOOKUP(A49, '1C'!B:Q, 15, 0),)</f>
        <v>Настінний</v>
      </c>
      <c r="F49" s="82" t="str">
        <f ca="1">IFERROR(
  VLOOKUP(A49, '1C'!B:S, 18, 0),)</f>
        <v>-</v>
      </c>
      <c r="G49" s="83" t="str">
        <f ca="1">IFERROR(
  VLOOKUP(A49, '1C'!B:U, 19, 0),)</f>
        <v>25А</v>
      </c>
      <c r="H49" s="81" t="str">
        <f ca="1">IFERROR(
  VLOOKUP(A49, '1C'!B:G, 6, 0),)</f>
        <v>NTBZ11500</v>
      </c>
      <c r="I49" s="90" t="str">
        <f ca="1">IFERROR( VLOOKUP(A49, '1C'!B:I, 8, 0),)</f>
        <v>-</v>
      </c>
      <c r="J49" s="91" t="str">
        <f ca="1">IFERROR(
  VLOOKUP(A49, '1C'!B:H, 7, 0),)</f>
        <v>8536 90 95 00</v>
      </c>
      <c r="K49" s="86"/>
      <c r="L49" s="92"/>
    </row>
    <row r="50" spans="1:12" ht="14.4">
      <c r="A50" s="93" t="str">
        <f ca="1">IFERROR(__xludf.DUMMYFUNCTION("iferror(IFERROR(
HYPERLINK(
  VLOOKUP(
    INDEX(UNIQUE(FLATTEN({'1C'!$A$2:A200,'1C'!$B$2:B200})), ROW(A48)), 
    '1C'!B:O, 12, 0),
  INDEX(UNIQUE(FLATTEN({'1C'!$A$2:A200,'1C'!$B$2:B200})), ROW(A48))),
MATCH(INDEX(UNIQUE(FLATTEN({'1C'!$A$2:A200,'1C'!$B$2"&amp;":B200})), ROW(A48)), L$3:L200, 0)
),)"),"ОБМЕЖУВАЧІ ПОТУЖНОСТІ")</f>
        <v>ОБМЕЖУВАЧІ ПОТУЖНОСТІ</v>
      </c>
      <c r="B50" s="89">
        <f ca="1">IFERROR(
  VLOOKUP(A50, '1C'!B:D, 3, 0),)</f>
        <v>0</v>
      </c>
      <c r="C50" s="89"/>
      <c r="D50" s="80">
        <f ca="1">IFERROR(
  VLOOKUP(A50, '1C'!B:J, 9, 0),)</f>
        <v>0</v>
      </c>
      <c r="E50" s="81">
        <f ca="1">IFERROR(
  VLOOKUP(A50, '1C'!B:Q, 15, 0),)</f>
        <v>0</v>
      </c>
      <c r="F50" s="82">
        <f ca="1">IFERROR(
  VLOOKUP(A50, '1C'!B:S, 18, 0),)</f>
        <v>0</v>
      </c>
      <c r="G50" s="83">
        <f ca="1">IFERROR(
  VLOOKUP(A50, '1C'!B:U, 19, 0),)</f>
        <v>0</v>
      </c>
      <c r="H50" s="81">
        <f ca="1">IFERROR(
  VLOOKUP(A50, '1C'!B:G, 6, 0),)</f>
        <v>0</v>
      </c>
      <c r="I50" s="90">
        <f ca="1">IFERROR( VLOOKUP(A50, '1C'!B:I, 8, 0),)</f>
        <v>0</v>
      </c>
      <c r="J50" s="91">
        <f ca="1">IFERROR(
  VLOOKUP(A50, '1C'!B:H, 7, 0),)</f>
        <v>0</v>
      </c>
      <c r="K50" s="86"/>
      <c r="L50" s="92"/>
    </row>
    <row r="51" spans="1:12" ht="14.4">
      <c r="A51" s="88" t="str">
        <f ca="1">IFERROR(__xludf.DUMMYFUNCTION("iferror(IFERROR(
HYPERLINK(
  VLOOKUP(
    INDEX(UNIQUE(FLATTEN({'1C'!$A$2:A200,'1C'!$B$2:B200})), ROW(A49)), 
    '1C'!B:O, 12, 0),
  INDEX(UNIQUE(FLATTEN({'1C'!$A$2:A200,'1C'!$B$2:B200})), ROW(A49))),
MATCH(INDEX(UNIQUE(FLATTEN({'1C'!$A$2:A200,'1C'!$B$2"&amp;":B200})), ROW(A49)), L$3:L200, 0)
),)"),"ОМ-121")</f>
        <v>ОМ-121</v>
      </c>
      <c r="B51" s="89">
        <f ca="1">IFERROR(
  VLOOKUP(A51, '1C'!B:D, 3, 0),)</f>
        <v>1920</v>
      </c>
      <c r="C51" s="89">
        <f ca="1">IFERROR(
  VLOOKUP(A51, '1C'!B:Y, 24, 0),)</f>
        <v>1920</v>
      </c>
      <c r="D51" s="80" t="str">
        <f ca="1">IFERROR(
  VLOOKUP(A51, '1C'!B:J, 9, 0),)</f>
        <v>Обмежувач потужності однофазний, ModBus</v>
      </c>
      <c r="E51" s="81" t="str">
        <f ca="1">IFERROR(
  VLOOKUP(A51, '1C'!B:Q, 15, 0),)</f>
        <v>DIN</v>
      </c>
      <c r="F51" s="82">
        <f ca="1">IFERROR(
  VLOOKUP(A51, '1C'!B:S, 18, 0),)</f>
        <v>3</v>
      </c>
      <c r="G51" s="83" t="str">
        <f ca="1">IFERROR(
  VLOOKUP(A51, '1C'!B:U, 19, 0),)</f>
        <v>14кВт</v>
      </c>
      <c r="H51" s="81" t="str">
        <f ca="1">IFERROR(
  VLOOKUP(A51, '1C'!B:G, 6, 0),)</f>
        <v>NTOM12100</v>
      </c>
      <c r="I51" s="90">
        <f ca="1">IFERROR( VLOOKUP(A51, '1C'!B:I, 8, 0),)</f>
        <v>0</v>
      </c>
      <c r="J51" s="91" t="str">
        <f ca="1">IFERROR(
  VLOOKUP(A51, '1C'!B:H, 7, 0),)</f>
        <v>8536 49 00 90</v>
      </c>
      <c r="K51" s="86"/>
      <c r="L51" s="92"/>
    </row>
    <row r="52" spans="1:12" ht="14.4">
      <c r="A52" s="88" t="str">
        <f ca="1">IFERROR(__xludf.DUMMYFUNCTION("iferror(IFERROR(
HYPERLINK(
  VLOOKUP(
    INDEX(UNIQUE(FLATTEN({'1C'!$A$2:A200,'1C'!$B$2:B200})), ROW(A50)), 
    '1C'!B:O, 12, 0),
  INDEX(UNIQUE(FLATTEN({'1C'!$A$2:A200,'1C'!$B$2:B200})), ROW(A50))),
MATCH(INDEX(UNIQUE(FLATTEN({'1C'!$A$2:A200,'1C'!$B$2"&amp;":B200})), ROW(A50)), L$3:L200, 0)
),)"),"ОМ-163")</f>
        <v>ОМ-163</v>
      </c>
      <c r="B52" s="89">
        <f ca="1">IFERROR(
  VLOOKUP(A52, '1C'!B:D, 3, 0),)</f>
        <v>1295</v>
      </c>
      <c r="C52" s="89">
        <f ca="1">IFERROR(
  VLOOKUP(A52, '1C'!B:Y, 24, 0),)</f>
        <v>1425</v>
      </c>
      <c r="D52" s="80" t="str">
        <f ca="1">IFERROR(
  VLOOKUP(A52, '1C'!B:J, 9, 0),)</f>
        <v>Обмежувач потужності однофазний + реле напруги</v>
      </c>
      <c r="E52" s="81" t="str">
        <f ca="1">IFERROR(
  VLOOKUP(A52, '1C'!B:Q, 15, 0),)</f>
        <v>DIN</v>
      </c>
      <c r="F52" s="82">
        <f ca="1">IFERROR(
  VLOOKUP(A52, '1C'!B:S, 18, 0),)</f>
        <v>3</v>
      </c>
      <c r="G52" s="83" t="str">
        <f ca="1">IFERROR(
  VLOOKUP(A52, '1C'!B:U, 19, 0),)</f>
        <v>63А</v>
      </c>
      <c r="H52" s="81" t="str">
        <f ca="1">IFERROR(
  VLOOKUP(A52, '1C'!B:G, 6, 0),)</f>
        <v>NTOM16300</v>
      </c>
      <c r="I52" s="90">
        <f ca="1">IFERROR( VLOOKUP(A52, '1C'!B:I, 8, 0),)</f>
        <v>0</v>
      </c>
      <c r="J52" s="91" t="str">
        <f ca="1">IFERROR(
  VLOOKUP(A52, '1C'!B:H, 7, 0),)</f>
        <v>8536 49 00 90</v>
      </c>
      <c r="K52" s="86"/>
      <c r="L52" s="92"/>
    </row>
    <row r="53" spans="1:12" ht="14.4">
      <c r="A53" s="88" t="str">
        <f ca="1">IFERROR(__xludf.DUMMYFUNCTION("iferror(IFERROR(
HYPERLINK(
  VLOOKUP(
    INDEX(UNIQUE(FLATTEN({'1C'!$A$2:A200,'1C'!$B$2:B200})), ROW(A51)), 
    '1C'!B:O, 12, 0),
  INDEX(UNIQUE(FLATTEN({'1C'!$A$2:A200,'1C'!$B$2:B200})), ROW(A51))),
MATCH(INDEX(UNIQUE(FLATTEN({'1C'!$A$2:A200,'1C'!$B$2"&amp;":B200})), ROW(A51)), L$3:L200, 0)
),)"),"ОМ-110")</f>
        <v>ОМ-110</v>
      </c>
      <c r="B53" s="89">
        <f ca="1">IFERROR(
  VLOOKUP(A53, '1C'!B:D, 3, 0),)</f>
        <v>1700</v>
      </c>
      <c r="C53" s="89">
        <f ca="1">IFERROR(
  VLOOKUP(A53, '1C'!B:Y, 24, 0),)</f>
        <v>1870</v>
      </c>
      <c r="D53" s="80" t="str">
        <f ca="1">IFERROR(
  VLOOKUP(A53, '1C'!B:J, 9, 0),)</f>
        <v>Обмежувач потужності однофазний до 20 кВт, 2 групи навантажень</v>
      </c>
      <c r="E53" s="81" t="str">
        <f ca="1">IFERROR(
  VLOOKUP(A53, '1C'!B:Q, 15, 0),)</f>
        <v>DIN</v>
      </c>
      <c r="F53" s="82">
        <f ca="1">IFERROR(
  VLOOKUP(A53, '1C'!B:S, 18, 0),)</f>
        <v>3</v>
      </c>
      <c r="G53" s="83" t="str">
        <f ca="1">IFERROR(
  VLOOKUP(A53, '1C'!B:U, 19, 0),)</f>
        <v>20кВт</v>
      </c>
      <c r="H53" s="81" t="str">
        <f ca="1">IFERROR(
  VLOOKUP(A53, '1C'!B:G, 6, 0),)</f>
        <v>NTOM11000</v>
      </c>
      <c r="I53" s="90">
        <f ca="1">IFERROR( VLOOKUP(A53, '1C'!B:I, 8, 0),)</f>
        <v>0</v>
      </c>
      <c r="J53" s="91" t="str">
        <f ca="1">IFERROR(
  VLOOKUP(A53, '1C'!B:H, 7, 0),)</f>
        <v>8536 49 00 90</v>
      </c>
      <c r="K53" s="86"/>
      <c r="L53" s="92"/>
    </row>
    <row r="54" spans="1:12" ht="26.4">
      <c r="A54" s="88" t="str">
        <f ca="1">IFERROR(__xludf.DUMMYFUNCTION("iferror(IFERROR(
HYPERLINK(
  VLOOKUP(
    INDEX(UNIQUE(FLATTEN({'1C'!$A$2:A200,'1C'!$B$2:B200})), ROW(A52)), 
    '1C'!B:O, 12, 0),
  INDEX(UNIQUE(FLATTEN({'1C'!$A$2:A200,'1C'!$B$2:B200})), ROW(A52))),
MATCH(INDEX(UNIQUE(FLATTEN({'1C'!$A$2:A200,'1C'!$B$2"&amp;":B200})), ROW(A52)), L$3:L200, 0)
),)"),"ОМ-310")</f>
        <v>ОМ-310</v>
      </c>
      <c r="B54" s="89">
        <f ca="1">IFERROR(
  VLOOKUP(A54, '1C'!B:D, 3, 0),)</f>
        <v>5940</v>
      </c>
      <c r="C54" s="89">
        <f ca="1">IFERROR(
  VLOOKUP(A54, '1C'!B:Y, 24, 0),)</f>
        <v>5940</v>
      </c>
      <c r="D54" s="80" t="str">
        <f ca="1">IFERROR(
  VLOOKUP(A54, '1C'!B:J, 9, 0),)</f>
        <v>Обмежувач потужності трифазний, вбудовані Т/С 2,5-30 кВт або зовнішні до 315 кВт, 2 групи навантажень, ModBus, функція моніторингу  параметрів</v>
      </c>
      <c r="E54" s="81" t="str">
        <f ca="1">IFERROR(
  VLOOKUP(A54, '1C'!B:Q, 15, 0),)</f>
        <v>DIN</v>
      </c>
      <c r="F54" s="82">
        <f ca="1">IFERROR(
  VLOOKUP(A54, '1C'!B:S, 18, 0),)</f>
        <v>9</v>
      </c>
      <c r="G54" s="83" t="str">
        <f ca="1">IFERROR(
  VLOOKUP(A54, '1C'!B:U, 19, 0),)</f>
        <v>30кВт-450кВт</v>
      </c>
      <c r="H54" s="81" t="str">
        <f ca="1">IFERROR(
  VLOOKUP(A54, '1C'!B:G, 6, 0),)</f>
        <v>NTOM31000</v>
      </c>
      <c r="I54" s="90">
        <f ca="1">IFERROR( VLOOKUP(A54, '1C'!B:I, 8, 0),)</f>
        <v>0</v>
      </c>
      <c r="J54" s="91" t="str">
        <f ca="1">IFERROR(
  VLOOKUP(A54, '1C'!B:H, 7, 0),)</f>
        <v>8536 49 00 90</v>
      </c>
      <c r="K54" s="86"/>
      <c r="L54" s="92"/>
    </row>
    <row r="55" spans="1:12" ht="14.4">
      <c r="A55" s="93" t="str">
        <f ca="1">IFERROR(__xludf.DUMMYFUNCTION("iferror(IFERROR(
HYPERLINK(
  VLOOKUP(
    INDEX(UNIQUE(FLATTEN({'1C'!$A$2:A200,'1C'!$B$2:B200})), ROW(A53)), 
    '1C'!B:O, 12, 0),
  INDEX(UNIQUE(FLATTEN({'1C'!$A$2:A200,'1C'!$B$2:B200})), ROW(A53))),
MATCH(INDEX(UNIQUE(FLATTEN({'1C'!$A$2:A200,'1C'!$B$2"&amp;":B200})), ROW(A53)), L$3:L200, 0)
),)"),"ОБМЕЖУВАЧІ СТРУМУ")</f>
        <v>ОБМЕЖУВАЧІ СТРУМУ</v>
      </c>
      <c r="B55" s="89">
        <f ca="1">IFERROR(
  VLOOKUP(A55, '1C'!B:D, 3, 0),)</f>
        <v>0</v>
      </c>
      <c r="C55" s="89"/>
      <c r="D55" s="80">
        <f ca="1">IFERROR(
  VLOOKUP(A55, '1C'!B:J, 9, 0),)</f>
        <v>0</v>
      </c>
      <c r="E55" s="81">
        <f ca="1">IFERROR(
  VLOOKUP(A55, '1C'!B:Q, 15, 0),)</f>
        <v>0</v>
      </c>
      <c r="F55" s="82">
        <f ca="1">IFERROR(
  VLOOKUP(A55, '1C'!B:S, 18, 0),)</f>
        <v>0</v>
      </c>
      <c r="G55" s="83">
        <f ca="1">IFERROR(
  VLOOKUP(A55, '1C'!B:U, 19, 0),)</f>
        <v>0</v>
      </c>
      <c r="H55" s="81">
        <f ca="1">IFERROR(
  VLOOKUP(A55, '1C'!B:G, 6, 0),)</f>
        <v>0</v>
      </c>
      <c r="I55" s="90">
        <f ca="1">IFERROR( VLOOKUP(A55, '1C'!B:I, 8, 0),)</f>
        <v>0</v>
      </c>
      <c r="J55" s="91">
        <f ca="1">IFERROR(
  VLOOKUP(A55, '1C'!B:H, 7, 0),)</f>
        <v>0</v>
      </c>
      <c r="K55" s="86"/>
      <c r="L55" s="92"/>
    </row>
    <row r="56" spans="1:12" ht="14.4">
      <c r="A56" s="88" t="str">
        <f ca="1">IFERROR(__xludf.DUMMYFUNCTION("iferror(IFERROR(
HYPERLINK(
  VLOOKUP(
    INDEX(UNIQUE(FLATTEN({'1C'!$A$2:A200,'1C'!$B$2:B200})), ROW(A54)), 
    '1C'!B:O, 12, 0),
  INDEX(UNIQUE(FLATTEN({'1C'!$A$2:A200,'1C'!$B$2:B200})), ROW(A54))),
MATCH(INDEX(UNIQUE(FLATTEN({'1C'!$A$2:A200,'1C'!$B$2"&amp;":B200})), ROW(A54)), L$3:L200, 0)
),)"),"РМТ-101")</f>
        <v>РМТ-101</v>
      </c>
      <c r="B56" s="89">
        <f ca="1">IFERROR(
  VLOOKUP(A56, '1C'!B:D, 3, 0),)</f>
        <v>1930</v>
      </c>
      <c r="C56" s="89">
        <f ca="1">IFERROR(
  VLOOKUP(A56, '1C'!B:Y, 24, 0),)</f>
        <v>2125</v>
      </c>
      <c r="D56" s="80" t="str">
        <f ca="1">IFERROR(
  VLOOKUP(A56, '1C'!B:J, 9, 0),)</f>
        <v>Реле максимального струму однофазне</v>
      </c>
      <c r="E56" s="81" t="str">
        <f ca="1">IFERROR(
  VLOOKUP(A56, '1C'!B:Q, 15, 0),)</f>
        <v>DIN</v>
      </c>
      <c r="F56" s="82">
        <f ca="1">IFERROR(
  VLOOKUP(A56, '1C'!B:S, 18, 0),)</f>
        <v>3</v>
      </c>
      <c r="G56" s="83" t="str">
        <f ca="1">IFERROR(
  VLOOKUP(A56, '1C'!B:U, 19, 0),)</f>
        <v>100А, пускач</v>
      </c>
      <c r="H56" s="81" t="str">
        <f ca="1">IFERROR(
  VLOOKUP(A56, '1C'!B:G, 6, 0),)</f>
        <v>NTRMT1010</v>
      </c>
      <c r="I56" s="90">
        <f ca="1">IFERROR( VLOOKUP(A56, '1C'!B:I, 8, 0),)</f>
        <v>4820122950511</v>
      </c>
      <c r="J56" s="91" t="str">
        <f ca="1">IFERROR(
  VLOOKUP(A56, '1C'!B:H, 7, 0),)</f>
        <v>8536 49 00 90</v>
      </c>
      <c r="K56" s="86"/>
      <c r="L56" s="92"/>
    </row>
    <row r="57" spans="1:12" ht="14.4">
      <c r="A57" s="88" t="str">
        <f ca="1">IFERROR(__xludf.DUMMYFUNCTION("iferror(IFERROR(
HYPERLINK(
  VLOOKUP(
    INDEX(UNIQUE(FLATTEN({'1C'!$A$2:A200,'1C'!$B$2:B200})), ROW(A55)), 
    '1C'!B:O, 12, 0),
  INDEX(UNIQUE(FLATTEN({'1C'!$A$2:A200,'1C'!$B$2:B200})), ROW(A55))),
MATCH(INDEX(UNIQUE(FLATTEN({'1C'!$A$2:A200,'1C'!$B$2"&amp;":B200})), ROW(A55)), L$3:L200, 0)
),)"),"РМТ-104")</f>
        <v>РМТ-104</v>
      </c>
      <c r="B57" s="89">
        <f ca="1">IFERROR(
  VLOOKUP(A57, '1C'!B:D, 3, 0),)</f>
        <v>2350</v>
      </c>
      <c r="C57" s="89">
        <f ca="1">IFERROR(
  VLOOKUP(A57, '1C'!B:Y, 24, 0),)</f>
        <v>2585</v>
      </c>
      <c r="D57" s="80" t="str">
        <f ca="1">IFERROR(
  VLOOKUP(A57, '1C'!B:J, 9, 0),)</f>
        <v>Реле максимального струму однофазне</v>
      </c>
      <c r="E57" s="81" t="str">
        <f ca="1">IFERROR(
  VLOOKUP(A57, '1C'!B:Q, 15, 0),)</f>
        <v>Настінний</v>
      </c>
      <c r="F57" s="82" t="str">
        <f ca="1">IFERROR(
  VLOOKUP(A57, '1C'!B:S, 18, 0),)</f>
        <v>-</v>
      </c>
      <c r="G57" s="83" t="str">
        <f ca="1">IFERROR(
  VLOOKUP(A57, '1C'!B:U, 19, 0),)</f>
        <v>400А, пускач</v>
      </c>
      <c r="H57" s="81" t="str">
        <f ca="1">IFERROR(
  VLOOKUP(A57, '1C'!B:G, 6, 0),)</f>
        <v>NTRMT1040</v>
      </c>
      <c r="I57" s="90">
        <f ca="1">IFERROR( VLOOKUP(A57, '1C'!B:I, 8, 0),)</f>
        <v>0</v>
      </c>
      <c r="J57" s="91" t="str">
        <f ca="1">IFERROR(
  VLOOKUP(A57, '1C'!B:H, 7, 0),)</f>
        <v>8536 49 00 90</v>
      </c>
      <c r="K57" s="86"/>
      <c r="L57" s="92"/>
    </row>
    <row r="58" spans="1:12" ht="14.4">
      <c r="A58" s="93" t="str">
        <f ca="1">IFERROR(__xludf.DUMMYFUNCTION("iferror(IFERROR(
HYPERLINK(
  VLOOKUP(
    INDEX(UNIQUE(FLATTEN({'1C'!$A$2:A200,'1C'!$B$2:B200})), ROW(A56)), 
    '1C'!B:O, 12, 0),
  INDEX(UNIQUE(FLATTEN({'1C'!$A$2:A200,'1C'!$B$2:B200})), ROW(A56))),
MATCH(INDEX(UNIQUE(FLATTEN({'1C'!$A$2:A200,'1C'!$B$2"&amp;":B200})), ROW(A56)), L$3:L200, 0)
),)"),"ТЕМПЕРАТУРНІ КОНТРОЛЕРИ")</f>
        <v>ТЕМПЕРАТУРНІ КОНТРОЛЕРИ</v>
      </c>
      <c r="B58" s="89">
        <f ca="1">IFERROR(
  VLOOKUP(A58, '1C'!B:D, 3, 0),)</f>
        <v>0</v>
      </c>
      <c r="C58" s="89"/>
      <c r="D58" s="80">
        <f ca="1">IFERROR(
  VLOOKUP(A58, '1C'!B:J, 9, 0),)</f>
        <v>0</v>
      </c>
      <c r="E58" s="81">
        <f ca="1">IFERROR(
  VLOOKUP(A58, '1C'!B:Q, 15, 0),)</f>
        <v>0</v>
      </c>
      <c r="F58" s="82">
        <f ca="1">IFERROR(
  VLOOKUP(A58, '1C'!B:S, 18, 0),)</f>
        <v>0</v>
      </c>
      <c r="G58" s="83">
        <f ca="1">IFERROR(
  VLOOKUP(A58, '1C'!B:U, 19, 0),)</f>
        <v>0</v>
      </c>
      <c r="H58" s="81">
        <f ca="1">IFERROR(
  VLOOKUP(A58, '1C'!B:G, 6, 0),)</f>
        <v>0</v>
      </c>
      <c r="I58" s="90">
        <f ca="1">IFERROR( VLOOKUP(A58, '1C'!B:I, 8, 0),)</f>
        <v>0</v>
      </c>
      <c r="J58" s="91">
        <f ca="1">IFERROR(
  VLOOKUP(A58, '1C'!B:H, 7, 0),)</f>
        <v>0</v>
      </c>
      <c r="K58" s="86"/>
      <c r="L58" s="92"/>
    </row>
    <row r="59" spans="1:12" ht="14.4">
      <c r="A59" s="88" t="str">
        <f ca="1">IFERROR(__xludf.DUMMYFUNCTION("iferror(IFERROR(
HYPERLINK(
  VLOOKUP(
    INDEX(UNIQUE(FLATTEN({'1C'!$A$2:A200,'1C'!$B$2:B200})), ROW(A57)), 
    '1C'!B:O, 12, 0),
  INDEX(UNIQUE(FLATTEN({'1C'!$A$2:A200,'1C'!$B$2:B200})), ROW(A57))),
MATCH(INDEX(UNIQUE(FLATTEN({'1C'!$A$2:A200,'1C'!$B$2"&amp;":B200})), ROW(A57)), L$3:L200, 0)
),)"),"МСК-102-14")</f>
        <v>МСК-102-14</v>
      </c>
      <c r="B59" s="89">
        <f ca="1">IFERROR(
  VLOOKUP(A59, '1C'!B:D, 3, 0),)</f>
        <v>920</v>
      </c>
      <c r="C59" s="89">
        <f ca="1">IFERROR(
  VLOOKUP(A59, '1C'!B:Y, 24, 0),)</f>
        <v>920</v>
      </c>
      <c r="D59" s="80" t="str">
        <f ca="1">IFERROR(
  VLOOKUP(A59, '1C'!B:J, 9, 0),)</f>
        <v>Керування морозильними камерами, холодильними прилавками, панельне виконання</v>
      </c>
      <c r="E59" s="81" t="str">
        <f ca="1">IFERROR(
  VLOOKUP(A59, '1C'!B:Q, 15, 0),)</f>
        <v>Панельный</v>
      </c>
      <c r="F59" s="82" t="str">
        <f ca="1">IFERROR(
  VLOOKUP(A59, '1C'!B:S, 18, 0),)</f>
        <v>-</v>
      </c>
      <c r="G59" s="83" t="str">
        <f ca="1">IFERROR(
  VLOOKUP(A59, '1C'!B:U, 19, 0),)</f>
        <v>-</v>
      </c>
      <c r="H59" s="81" t="str">
        <f ca="1">IFERROR(
  VLOOKUP(A59, '1C'!B:G, 6, 0),)</f>
        <v>NTMK10214</v>
      </c>
      <c r="I59" s="90">
        <f ca="1">IFERROR( VLOOKUP(A59, '1C'!B:I, 8, 0),)</f>
        <v>0</v>
      </c>
      <c r="J59" s="91" t="str">
        <f ca="1">IFERROR(
  VLOOKUP(A59, '1C'!B:H, 7, 0),)</f>
        <v>9032 89 00 00</v>
      </c>
      <c r="K59" s="86"/>
      <c r="L59" s="92"/>
    </row>
    <row r="60" spans="1:12" ht="14.4">
      <c r="A60" s="88" t="str">
        <f ca="1">IFERROR(__xludf.DUMMYFUNCTION("iferror(IFERROR(
HYPERLINK(
  VLOOKUP(
    INDEX(UNIQUE(FLATTEN({'1C'!$A$2:A200,'1C'!$B$2:B200})), ROW(A58)), 
    '1C'!B:O, 12, 0),
  INDEX(UNIQUE(FLATTEN({'1C'!$A$2:A200,'1C'!$B$2:B200})), ROW(A58))),
MATCH(INDEX(UNIQUE(FLATTEN({'1C'!$A$2:A200,'1C'!$B$2"&amp;":B200})), ROW(A58)), L$3:L200, 0)
),)"),"МСК-102-20")</f>
        <v>МСК-102-20</v>
      </c>
      <c r="B60" s="89">
        <f ca="1">IFERROR(
  VLOOKUP(A60, '1C'!B:D, 3, 0),)</f>
        <v>1120</v>
      </c>
      <c r="C60" s="89">
        <f ca="1">IFERROR(
  VLOOKUP(A60, '1C'!B:Y, 24, 0),)</f>
        <v>1120</v>
      </c>
      <c r="D60" s="80" t="str">
        <f ca="1">IFERROR(
  VLOOKUP(A60, '1C'!B:J, 9, 0),)</f>
        <v>Керування морозильними камерами, холодильними прилавками, панельне виконання</v>
      </c>
      <c r="E60" s="81" t="str">
        <f ca="1">IFERROR(
  VLOOKUP(A60, '1C'!B:Q, 15, 0),)</f>
        <v>Панельный</v>
      </c>
      <c r="F60" s="82" t="str">
        <f ca="1">IFERROR(
  VLOOKUP(A60, '1C'!B:S, 18, 0),)</f>
        <v>-</v>
      </c>
      <c r="G60" s="83" t="str">
        <f ca="1">IFERROR(
  VLOOKUP(A60, '1C'!B:U, 19, 0),)</f>
        <v>-</v>
      </c>
      <c r="H60" s="81" t="str">
        <f ca="1">IFERROR(
  VLOOKUP(A60, '1C'!B:G, 6, 0),)</f>
        <v>NTMK10220</v>
      </c>
      <c r="I60" s="90">
        <f ca="1">IFERROR( VLOOKUP(A60, '1C'!B:I, 8, 0),)</f>
        <v>0</v>
      </c>
      <c r="J60" s="91" t="str">
        <f ca="1">IFERROR(
  VLOOKUP(A60, '1C'!B:H, 7, 0),)</f>
        <v>9032 89 00 00</v>
      </c>
      <c r="K60" s="86"/>
      <c r="L60" s="92"/>
    </row>
    <row r="61" spans="1:12" ht="14.4">
      <c r="A61" s="88" t="str">
        <f ca="1">IFERROR(__xludf.DUMMYFUNCTION("iferror(IFERROR(
HYPERLINK(
  VLOOKUP(
    INDEX(UNIQUE(FLATTEN({'1C'!$A$2:A200,'1C'!$B$2:B200})), ROW(A59)), 
    '1C'!B:O, 12, 0),
  INDEX(UNIQUE(FLATTEN({'1C'!$A$2:A200,'1C'!$B$2:B200})), ROW(A59))),
MATCH(INDEX(UNIQUE(FLATTEN({'1C'!$A$2:A200,'1C'!$B$2"&amp;":B200})), ROW(A59)), L$3:L200, 0)
),)"),"МСК-301-52")</f>
        <v>МСК-301-52</v>
      </c>
      <c r="B61" s="89">
        <f ca="1">IFERROR(
  VLOOKUP(A61, '1C'!B:D, 3, 0),)</f>
        <v>1520</v>
      </c>
      <c r="C61" s="89">
        <f ca="1">IFERROR(
  VLOOKUP(A61, '1C'!B:Y, 24, 0),)</f>
        <v>1520</v>
      </c>
      <c r="D61" s="80" t="str">
        <f ca="1">IFERROR(
  VLOOKUP(A61, '1C'!B:J, 9, 0),)</f>
        <v>Керування процесом зберігання та дозрівання фруктів в спеціальній камері</v>
      </c>
      <c r="E61" s="81" t="str">
        <f ca="1">IFERROR(
  VLOOKUP(A61, '1C'!B:Q, 15, 0),)</f>
        <v>DIN</v>
      </c>
      <c r="F61" s="82">
        <f ca="1">IFERROR(
  VLOOKUP(A61, '1C'!B:S, 18, 0),)</f>
        <v>4</v>
      </c>
      <c r="G61" s="83" t="str">
        <f ca="1">IFERROR(
  VLOOKUP(A61, '1C'!B:U, 19, 0),)</f>
        <v>-</v>
      </c>
      <c r="H61" s="81" t="str">
        <f ca="1">IFERROR(
  VLOOKUP(A61, '1C'!B:G, 6, 0),)</f>
        <v>NTMK30152</v>
      </c>
      <c r="I61" s="90">
        <f ca="1">IFERROR( VLOOKUP(A61, '1C'!B:I, 8, 0),)</f>
        <v>0</v>
      </c>
      <c r="J61" s="91" t="str">
        <f ca="1">IFERROR(
  VLOOKUP(A61, '1C'!B:H, 7, 0),)</f>
        <v>9032 89 00 00</v>
      </c>
      <c r="K61" s="86"/>
      <c r="L61" s="92"/>
    </row>
    <row r="62" spans="1:12" ht="14.4">
      <c r="A62" s="88" t="str">
        <f ca="1">IFERROR(__xludf.DUMMYFUNCTION("iferror(IFERROR(
HYPERLINK(
  VLOOKUP(
    INDEX(UNIQUE(FLATTEN({'1C'!$A$2:A200,'1C'!$B$2:B200})), ROW(A60)), 
    '1C'!B:O, 12, 0),
  INDEX(UNIQUE(FLATTEN({'1C'!$A$2:A200,'1C'!$B$2:B200})), ROW(A60))),
MATCH(INDEX(UNIQUE(FLATTEN({'1C'!$A$2:A200,'1C'!$B$2"&amp;":B200})), ROW(A60)), L$3:L200, 0)
),)"),"МСК-301-61")</f>
        <v>МСК-301-61</v>
      </c>
      <c r="B62" s="89">
        <f ca="1">IFERROR(
  VLOOKUP(A62, '1C'!B:D, 3, 0),)</f>
        <v>1695</v>
      </c>
      <c r="C62" s="89">
        <f ca="1">IFERROR(
  VLOOKUP(A62, '1C'!B:Y, 24, 0),)</f>
        <v>1695</v>
      </c>
      <c r="D62" s="80" t="str">
        <f ca="1">IFERROR(
  VLOOKUP(A62, '1C'!B:J, 9, 0),)</f>
        <v>Для керування клімат-приборами в приміщенні</v>
      </c>
      <c r="E62" s="81" t="str">
        <f ca="1">IFERROR(
  VLOOKUP(A62, '1C'!B:Q, 15, 0),)</f>
        <v>DIN</v>
      </c>
      <c r="F62" s="82">
        <f ca="1">IFERROR(
  VLOOKUP(A62, '1C'!B:S, 18, 0),)</f>
        <v>4</v>
      </c>
      <c r="G62" s="83" t="str">
        <f ca="1">IFERROR(
  VLOOKUP(A62, '1C'!B:U, 19, 0),)</f>
        <v>-</v>
      </c>
      <c r="H62" s="81" t="str">
        <f ca="1">IFERROR(
  VLOOKUP(A62, '1C'!B:G, 6, 0),)</f>
        <v>NTMK30161</v>
      </c>
      <c r="I62" s="90">
        <f ca="1">IFERROR( VLOOKUP(A62, '1C'!B:I, 8, 0),)</f>
        <v>0</v>
      </c>
      <c r="J62" s="91" t="str">
        <f ca="1">IFERROR(
  VLOOKUP(A62, '1C'!B:H, 7, 0),)</f>
        <v>9032 89 00 00</v>
      </c>
      <c r="K62" s="86"/>
      <c r="L62" s="92"/>
    </row>
    <row r="63" spans="1:12" ht="14.4">
      <c r="A63" s="88" t="str">
        <f ca="1">IFERROR(__xludf.DUMMYFUNCTION("iferror(IFERROR(
HYPERLINK(
  VLOOKUP(
    INDEX(UNIQUE(FLATTEN({'1C'!$A$2:A200,'1C'!$B$2:B200})), ROW(A61)), 
    '1C'!B:O, 12, 0),
  INDEX(UNIQUE(FLATTEN({'1C'!$A$2:A200,'1C'!$B$2:B200})), ROW(A61))),
MATCH(INDEX(UNIQUE(FLATTEN({'1C'!$A$2:A200,'1C'!$B$2"&amp;":B200})), ROW(A61)), L$3:L200, 0)
),)"),"МСК-301-87")</f>
        <v>МСК-301-87</v>
      </c>
      <c r="B63" s="89">
        <f ca="1">IFERROR(
  VLOOKUP(A63, '1C'!B:D, 3, 0),)</f>
        <v>1705</v>
      </c>
      <c r="C63" s="89">
        <f ca="1">IFERROR(
  VLOOKUP(A63, '1C'!B:Y, 24, 0),)</f>
        <v>1705</v>
      </c>
      <c r="D63" s="80" t="str">
        <f ca="1">IFERROR(
  VLOOKUP(A63, '1C'!B:J, 9, 0),)</f>
        <v>Температурний контролер для морозильних камер та прилавків</v>
      </c>
      <c r="E63" s="81" t="str">
        <f ca="1">IFERROR(
  VLOOKUP(A63, '1C'!B:Q, 15, 0),)</f>
        <v>DIN</v>
      </c>
      <c r="F63" s="82">
        <f ca="1">IFERROR(
  VLOOKUP(A63, '1C'!B:S, 18, 0),)</f>
        <v>4</v>
      </c>
      <c r="G63" s="83" t="str">
        <f ca="1">IFERROR(
  VLOOKUP(A63, '1C'!B:U, 19, 0),)</f>
        <v>-</v>
      </c>
      <c r="H63" s="81" t="str">
        <f ca="1">IFERROR(
  VLOOKUP(A63, '1C'!B:G, 6, 0),)</f>
        <v>NTMK30183</v>
      </c>
      <c r="I63" s="90">
        <f ca="1">IFERROR( VLOOKUP(A63, '1C'!B:I, 8, 0),)</f>
        <v>0</v>
      </c>
      <c r="J63" s="91" t="str">
        <f ca="1">IFERROR(
  VLOOKUP(A63, '1C'!B:H, 7, 0),)</f>
        <v>9032 89 00 00</v>
      </c>
      <c r="K63" s="86"/>
      <c r="L63" s="92"/>
    </row>
    <row r="64" spans="1:12" ht="14.4">
      <c r="A64" s="88" t="str">
        <f ca="1">IFERROR(__xludf.DUMMYFUNCTION("iferror(IFERROR(
HYPERLINK(
  VLOOKUP(
    INDEX(UNIQUE(FLATTEN({'1C'!$A$2:A200,'1C'!$B$2:B200})), ROW(A62)), 
    '1C'!B:O, 12, 0),
  INDEX(UNIQUE(FLATTEN({'1C'!$A$2:A200,'1C'!$B$2:B200})), ROW(A62))),
MATCH(INDEX(UNIQUE(FLATTEN({'1C'!$A$2:A200,'1C'!$B$2"&amp;":B200})), ROW(A62)), L$3:L200, 0)
),)"),"ТР-12-1")</f>
        <v>ТР-12-1</v>
      </c>
      <c r="B64" s="89">
        <f ca="1">IFERROR(
  VLOOKUP(A64, '1C'!B:D, 3, 0),)</f>
        <v>805</v>
      </c>
      <c r="C64" s="89">
        <f ca="1">IFERROR(
  VLOOKUP(A64, '1C'!B:Y, 24, 0),)</f>
        <v>805</v>
      </c>
      <c r="D64" s="80" t="str">
        <f ca="1">IFERROR(
  VLOOKUP(A64, '1C'!B:J, 9, 0),)</f>
        <v>Терморегулятор в розетку з реле напруги, датчик знизу, 10 см</v>
      </c>
      <c r="E64" s="81" t="str">
        <f ca="1">IFERROR(
  VLOOKUP(A64, '1C'!B:Q, 15, 0),)</f>
        <v>вилка-розетка</v>
      </c>
      <c r="F64" s="82" t="str">
        <f ca="1">IFERROR(
  VLOOKUP(A64, '1C'!B:S, 18, 0),)</f>
        <v>-</v>
      </c>
      <c r="G64" s="83" t="str">
        <f ca="1">IFERROR(
  VLOOKUP(A64, '1C'!B:U, 19, 0),)</f>
        <v>16А</v>
      </c>
      <c r="H64" s="81" t="str">
        <f ca="1">IFERROR(
  VLOOKUP(A64, '1C'!B:G, 6, 0),)</f>
        <v>NTTR12001</v>
      </c>
      <c r="I64" s="90">
        <f ca="1">IFERROR( VLOOKUP(A64, '1C'!B:I, 8, 0),)</f>
        <v>4820122950238</v>
      </c>
      <c r="J64" s="91" t="str">
        <f ca="1">IFERROR(
  VLOOKUP(A64, '1C'!B:H, 7, 0),)</f>
        <v>9032 89 00 00</v>
      </c>
      <c r="K64" s="86"/>
      <c r="L64" s="92"/>
    </row>
    <row r="65" spans="1:12" ht="14.4">
      <c r="A65" s="88" t="str">
        <f ca="1">IFERROR(__xludf.DUMMYFUNCTION("iferror(IFERROR(
HYPERLINK(
  VLOOKUP(
    INDEX(UNIQUE(FLATTEN({'1C'!$A$2:A200,'1C'!$B$2:B200})), ROW(A63)), 
    '1C'!B:O, 12, 0),
  INDEX(UNIQUE(FLATTEN({'1C'!$A$2:A200,'1C'!$B$2:B200})), ROW(A63))),
MATCH(INDEX(UNIQUE(FLATTEN({'1C'!$A$2:A200,'1C'!$B$2"&amp;":B200})), ROW(A63)), L$3:L200, 0)
),)"),"ТР-12-2")</f>
        <v>ТР-12-2</v>
      </c>
      <c r="B65" s="89">
        <f ca="1">IFERROR(
  VLOOKUP(A65, '1C'!B:D, 3, 0),)</f>
        <v>805</v>
      </c>
      <c r="C65" s="89">
        <f ca="1">IFERROR(
  VLOOKUP(A65, '1C'!B:Y, 24, 0),)</f>
        <v>805</v>
      </c>
      <c r="D65" s="80" t="str">
        <f ca="1">IFERROR(
  VLOOKUP(A65, '1C'!B:J, 9, 0),)</f>
        <v>Терморегулятор в розетку з реле напруги, датчик знизу, 1,8 м</v>
      </c>
      <c r="E65" s="81" t="str">
        <f ca="1">IFERROR(
  VLOOKUP(A65, '1C'!B:Q, 15, 0),)</f>
        <v>вилка-розетка</v>
      </c>
      <c r="F65" s="82" t="str">
        <f ca="1">IFERROR(
  VLOOKUP(A65, '1C'!B:S, 18, 0),)</f>
        <v>-</v>
      </c>
      <c r="G65" s="83" t="str">
        <f ca="1">IFERROR(
  VLOOKUP(A65, '1C'!B:U, 19, 0),)</f>
        <v>16А</v>
      </c>
      <c r="H65" s="81" t="str">
        <f ca="1">IFERROR(
  VLOOKUP(A65, '1C'!B:G, 6, 0),)</f>
        <v>NTTR12002</v>
      </c>
      <c r="I65" s="90">
        <f ca="1">IFERROR( VLOOKUP(A65, '1C'!B:I, 8, 0),)</f>
        <v>4820122950245</v>
      </c>
      <c r="J65" s="91" t="str">
        <f ca="1">IFERROR(
  VLOOKUP(A65, '1C'!B:H, 7, 0),)</f>
        <v>9032 89 00 00</v>
      </c>
      <c r="K65" s="86"/>
      <c r="L65" s="92"/>
    </row>
    <row r="66" spans="1:12" ht="14.4">
      <c r="A66" s="88" t="str">
        <f ca="1">IFERROR(__xludf.DUMMYFUNCTION("iferror(IFERROR(
HYPERLINK(
  VLOOKUP(
    INDEX(UNIQUE(FLATTEN({'1C'!$A$2:A200,'1C'!$B$2:B200})), ROW(A64)), 
    '1C'!B:O, 12, 0),
  INDEX(UNIQUE(FLATTEN({'1C'!$A$2:A200,'1C'!$B$2:B200})), ROW(A64))),
MATCH(INDEX(UNIQUE(FLATTEN({'1C'!$A$2:A200,'1C'!$B$2"&amp;":B200})), ROW(A64)), L$3:L200, 0)
),)"),"ТР-12-3")</f>
        <v>ТР-12-3</v>
      </c>
      <c r="B66" s="89">
        <f ca="1">IFERROR(
  VLOOKUP(A66, '1C'!B:D, 3, 0),)</f>
        <v>805</v>
      </c>
      <c r="C66" s="89">
        <f ca="1">IFERROR(
  VLOOKUP(A66, '1C'!B:Y, 24, 0),)</f>
        <v>805</v>
      </c>
      <c r="D66" s="80" t="str">
        <f ca="1">IFERROR(
  VLOOKUP(A66, '1C'!B:J, 9, 0),)</f>
        <v>Терморегулятор в розетку з реле напруги, датчик зверху, 10 см</v>
      </c>
      <c r="E66" s="81" t="str">
        <f ca="1">IFERROR(
  VLOOKUP(A66, '1C'!B:Q, 15, 0),)</f>
        <v>вилка-розетка</v>
      </c>
      <c r="F66" s="82" t="str">
        <f ca="1">IFERROR(
  VLOOKUP(A66, '1C'!B:S, 18, 0),)</f>
        <v>-</v>
      </c>
      <c r="G66" s="83" t="str">
        <f ca="1">IFERROR(
  VLOOKUP(A66, '1C'!B:U, 19, 0),)</f>
        <v>16А</v>
      </c>
      <c r="H66" s="81" t="str">
        <f ca="1">IFERROR(
  VLOOKUP(A66, '1C'!B:G, 6, 0),)</f>
        <v>NTTR12003</v>
      </c>
      <c r="I66" s="90">
        <f ca="1">IFERROR( VLOOKUP(A66, '1C'!B:I, 8, 0),)</f>
        <v>4820122950252</v>
      </c>
      <c r="J66" s="91" t="str">
        <f ca="1">IFERROR(
  VLOOKUP(A66, '1C'!B:H, 7, 0),)</f>
        <v>9032 89 00 00</v>
      </c>
      <c r="K66" s="86"/>
      <c r="L66" s="92"/>
    </row>
    <row r="67" spans="1:12" ht="14.4">
      <c r="A67" s="88" t="str">
        <f ca="1">IFERROR(__xludf.DUMMYFUNCTION("iferror(IFERROR(
HYPERLINK(
  VLOOKUP(
    INDEX(UNIQUE(FLATTEN({'1C'!$A$2:A200,'1C'!$B$2:B200})), ROW(A65)), 
    '1C'!B:O, 12, 0),
  INDEX(UNIQUE(FLATTEN({'1C'!$A$2:A200,'1C'!$B$2:B200})), ROW(A65))),
MATCH(INDEX(UNIQUE(FLATTEN({'1C'!$A$2:A200,'1C'!$B$2"&amp;":B200})), ROW(A65)), L$3:L200, 0)
),)"),"ТР-101")</f>
        <v>ТР-101</v>
      </c>
      <c r="B67" s="89">
        <f ca="1">IFERROR(
  VLOOKUP(A67, '1C'!B:D, 3, 0),)</f>
        <v>3990</v>
      </c>
      <c r="C67" s="89">
        <f ca="1">IFERROR(
  VLOOKUP(A67, '1C'!B:Y, 24, 0),)</f>
        <v>3990</v>
      </c>
      <c r="D67" s="80" t="str">
        <f ca="1">IFERROR(
  VLOOKUP(A67, '1C'!B:J, 9, 0),)</f>
        <v>Температурне реле, 4 незалежних канали, режими нагріву/охолодження, індикація</v>
      </c>
      <c r="E67" s="81" t="str">
        <f ca="1">IFERROR(
  VLOOKUP(A67, '1C'!B:Q, 15, 0),)</f>
        <v>DIN</v>
      </c>
      <c r="F67" s="82">
        <f ca="1">IFERROR(
  VLOOKUP(A67, '1C'!B:S, 18, 0),)</f>
        <v>8</v>
      </c>
      <c r="G67" s="83" t="str">
        <f ca="1">IFERROR(
  VLOOKUP(A67, '1C'!B:U, 19, 0),)</f>
        <v>10А</v>
      </c>
      <c r="H67" s="81" t="str">
        <f ca="1">IFERROR(
  VLOOKUP(A67, '1C'!B:G, 6, 0),)</f>
        <v>NTTR10100</v>
      </c>
      <c r="I67" s="90">
        <f ca="1">IFERROR( VLOOKUP(A67, '1C'!B:I, 8, 0),)</f>
        <v>0</v>
      </c>
      <c r="J67" s="91" t="str">
        <f ca="1">IFERROR(
  VLOOKUP(A67, '1C'!B:H, 7, 0),)</f>
        <v>9025 19 20 90</v>
      </c>
      <c r="K67" s="86"/>
      <c r="L67" s="92"/>
    </row>
    <row r="68" spans="1:12" ht="14.4">
      <c r="A68" s="88" t="str">
        <f ca="1">IFERROR(__xludf.DUMMYFUNCTION("iferror(IFERROR(
HYPERLINK(
  VLOOKUP(
    INDEX(UNIQUE(FLATTEN({'1C'!$A$2:A200,'1C'!$B$2:B200})), ROW(A66)), 
    '1C'!B:O, 12, 0),
  INDEX(UNIQUE(FLATTEN({'1C'!$A$2:A200,'1C'!$B$2:B200})), ROW(A66))),
MATCH(INDEX(UNIQUE(FLATTEN({'1C'!$A$2:A200,'1C'!$B$2"&amp;":B200})), ROW(A66)), L$3:L200, 0)
),)"),"ТР-102")</f>
        <v>ТР-102</v>
      </c>
      <c r="B68" s="89">
        <f ca="1">IFERROR(
  VLOOKUP(A68, '1C'!B:D, 3, 0),)</f>
        <v>3840</v>
      </c>
      <c r="C68" s="89">
        <f ca="1">IFERROR(
  VLOOKUP(A68, '1C'!B:Y, 24, 0),)</f>
        <v>3840</v>
      </c>
      <c r="D68" s="80" t="str">
        <f ca="1">IFERROR(
  VLOOKUP(A68, '1C'!B:J, 9, 0),)</f>
        <v>Блок керування опаленням, 4 зони, керування за допомогою біметалічного датчика</v>
      </c>
      <c r="E68" s="81" t="str">
        <f ca="1">IFERROR(
  VLOOKUP(A68, '1C'!B:Q, 15, 0),)</f>
        <v>DIN</v>
      </c>
      <c r="F68" s="82">
        <f ca="1">IFERROR(
  VLOOKUP(A68, '1C'!B:S, 18, 0),)</f>
        <v>8</v>
      </c>
      <c r="G68" s="83" t="str">
        <f ca="1">IFERROR(
  VLOOKUP(A68, '1C'!B:U, 19, 0),)</f>
        <v>10А</v>
      </c>
      <c r="H68" s="81" t="str">
        <f ca="1">IFERROR(
  VLOOKUP(A68, '1C'!B:G, 6, 0),)</f>
        <v>NTTR10200</v>
      </c>
      <c r="I68" s="90">
        <f ca="1">IFERROR( VLOOKUP(A68, '1C'!B:I, 8, 0),)</f>
        <v>0</v>
      </c>
      <c r="J68" s="91" t="str">
        <f ca="1">IFERROR(
  VLOOKUP(A68, '1C'!B:H, 7, 0),)</f>
        <v>9025 19 20 90</v>
      </c>
      <c r="K68" s="86"/>
      <c r="L68" s="92"/>
    </row>
    <row r="69" spans="1:12" ht="14.4">
      <c r="A69" s="93" t="str">
        <f ca="1">IFERROR(__xludf.DUMMYFUNCTION("iferror(IFERROR(
HYPERLINK(
  VLOOKUP(
    INDEX(UNIQUE(FLATTEN({'1C'!$A$2:A200,'1C'!$B$2:B200})), ROW(A67)), 
    '1C'!B:O, 12, 0),
  INDEX(UNIQUE(FLATTEN({'1C'!$A$2:A200,'1C'!$B$2:B200})), ROW(A67))),
MATCH(INDEX(UNIQUE(FLATTEN({'1C'!$A$2:A200,'1C'!$B$2"&amp;":B200})), ROW(A67)), L$3:L200, 0)
),)"),"ТР-103")</f>
        <v>ТР-103</v>
      </c>
      <c r="B69" s="89" t="str">
        <f ca="1">IFERROR(
  VLOOKUP(A69, '1C'!B:D, 3, 0),)</f>
        <v>під замовлення</v>
      </c>
      <c r="C69" s="89" t="str">
        <f ca="1">IFERROR(
  VLOOKUP(A69, '1C'!B:Y, 24, 0),)</f>
        <v>під замовлення</v>
      </c>
      <c r="D69" s="80" t="str">
        <f ca="1">IFERROR(
  VLOOKUP(A69, '1C'!B:J, 9, 0),)</f>
        <v>Блок захисту сухих трансформаторів, 2 канали</v>
      </c>
      <c r="E69" s="81" t="str">
        <f ca="1">IFERROR(
  VLOOKUP(A69, '1C'!B:Q, 15, 0),)</f>
        <v>DIN</v>
      </c>
      <c r="F69" s="82">
        <f ca="1">IFERROR(
  VLOOKUP(A69, '1C'!B:S, 18, 0),)</f>
        <v>2</v>
      </c>
      <c r="G69" s="83" t="str">
        <f ca="1">IFERROR(
  VLOOKUP(A69, '1C'!B:U, 19, 0),)</f>
        <v>5A</v>
      </c>
      <c r="H69" s="81" t="str">
        <f ca="1">IFERROR(
  VLOOKUP(A69, '1C'!B:G, 6, 0),)</f>
        <v>NTTR10300</v>
      </c>
      <c r="I69" s="90">
        <f ca="1">IFERROR( VLOOKUP(A69, '1C'!B:I, 8, 0),)</f>
        <v>0</v>
      </c>
      <c r="J69" s="91" t="str">
        <f ca="1">IFERROR(
  VLOOKUP(A69, '1C'!B:H, 7, 0),)</f>
        <v>9025 19 20 90</v>
      </c>
      <c r="K69" s="86"/>
      <c r="L69" s="92"/>
    </row>
    <row r="70" spans="1:12" ht="14.4">
      <c r="A70" s="88" t="str">
        <f ca="1">IFERROR(__xludf.DUMMYFUNCTION("iferror(IFERROR(
HYPERLINK(
  VLOOKUP(
    INDEX(UNIQUE(FLATTEN({'1C'!$A$2:A200,'1C'!$B$2:B200})), ROW(A68)), 
    '1C'!B:O, 12, 0),
  INDEX(UNIQUE(FLATTEN({'1C'!$A$2:A200,'1C'!$B$2:B200})), ROW(A68))),
MATCH(INDEX(UNIQUE(FLATTEN({'1C'!$A$2:A200,'1C'!$B$2"&amp;":B200})), ROW(A68)), L$3:L200, 0)
),)"),"ТР-100")</f>
        <v>ТР-100</v>
      </c>
      <c r="B70" s="89">
        <f ca="1">IFERROR(
  VLOOKUP(A70, '1C'!B:D, 3, 0),)</f>
        <v>4655</v>
      </c>
      <c r="C70" s="89">
        <f ca="1">IFERROR(
  VLOOKUP(A70, '1C'!B:Y, 24, 0),)</f>
        <v>4655</v>
      </c>
      <c r="D70" s="80" t="str">
        <f ca="1">IFERROR(
  VLOOKUP(A70, '1C'!B:J, 9, 0),)</f>
        <v>Блок захисту сухих трансформаторів, 4 канали, ModBus</v>
      </c>
      <c r="E70" s="81" t="str">
        <f ca="1">IFERROR(
  VLOOKUP(A70, '1C'!B:Q, 15, 0),)</f>
        <v>DIN</v>
      </c>
      <c r="F70" s="82">
        <f ca="1">IFERROR(
  VLOOKUP(A70, '1C'!B:S, 18, 0),)</f>
        <v>8</v>
      </c>
      <c r="G70" s="83" t="str">
        <f ca="1">IFERROR(
  VLOOKUP(A70, '1C'!B:U, 19, 0),)</f>
        <v>10А</v>
      </c>
      <c r="H70" s="81" t="str">
        <f ca="1">IFERROR(
  VLOOKUP(A70, '1C'!B:G, 6, 0),)</f>
        <v>NTTR10000</v>
      </c>
      <c r="I70" s="90">
        <f ca="1">IFERROR( VLOOKUP(A70, '1C'!B:I, 8, 0),)</f>
        <v>0</v>
      </c>
      <c r="J70" s="91" t="str">
        <f ca="1">IFERROR(
  VLOOKUP(A70, '1C'!B:H, 7, 0),)</f>
        <v>9032 10 20 00</v>
      </c>
      <c r="K70" s="86"/>
      <c r="L70" s="92"/>
    </row>
    <row r="71" spans="1:12" ht="14.4">
      <c r="A71" s="88" t="str">
        <f ca="1">IFERROR(__xludf.DUMMYFUNCTION("iferror(IFERROR(
HYPERLINK(
  VLOOKUP(
    INDEX(UNIQUE(FLATTEN({'1C'!$A$2:A200,'1C'!$B$2:B200})), ROW(A69)), 
    '1C'!B:O, 12, 0),
  INDEX(UNIQUE(FLATTEN({'1C'!$A$2:A200,'1C'!$B$2:B200})), ROW(A69))),
MATCH(INDEX(UNIQUE(FLATTEN({'1C'!$A$2:A200,'1C'!$B$2"&amp;":B200})), ROW(A69)), L$3:L200, 0)
),)"),"ТР-100М")</f>
        <v>ТР-100М</v>
      </c>
      <c r="B71" s="89">
        <f ca="1">IFERROR(
  VLOOKUP(A71, '1C'!B:D, 3, 0),)</f>
        <v>5115</v>
      </c>
      <c r="C71" s="89">
        <f ca="1">IFERROR(
  VLOOKUP(A71, '1C'!B:Y, 24, 0),)</f>
        <v>5115</v>
      </c>
      <c r="D71" s="80" t="str">
        <f ca="1">IFERROR(
  VLOOKUP(A71, '1C'!B:J, 9, 0),)</f>
        <v>Блок захисту сухих трансформаторів, 4 канали, ModBus</v>
      </c>
      <c r="E71" s="81" t="str">
        <f ca="1">IFERROR(
  VLOOKUP(A71, '1C'!B:Q, 15, 0),)</f>
        <v>Щит</v>
      </c>
      <c r="F71" s="82" t="str">
        <f ca="1">IFERROR(
  VLOOKUP(A71, '1C'!B:S, 18, 0),)</f>
        <v>-</v>
      </c>
      <c r="G71" s="83" t="str">
        <f ca="1">IFERROR(
  VLOOKUP(A71, '1C'!B:U, 19, 0),)</f>
        <v>10А</v>
      </c>
      <c r="H71" s="81" t="str">
        <f ca="1">IFERROR(
  VLOOKUP(A71, '1C'!B:G, 6, 0),)</f>
        <v>NTTR100M0</v>
      </c>
      <c r="I71" s="90">
        <f ca="1">IFERROR( VLOOKUP(A71, '1C'!B:I, 8, 0),)</f>
        <v>0</v>
      </c>
      <c r="J71" s="91" t="str">
        <f ca="1">IFERROR(
  VLOOKUP(A71, '1C'!B:H, 7, 0),)</f>
        <v>9032 10 20 00</v>
      </c>
      <c r="K71" s="86"/>
      <c r="L71" s="92"/>
    </row>
    <row r="72" spans="1:12" ht="14.4">
      <c r="A72" s="93" t="str">
        <f ca="1">IFERROR(__xludf.DUMMYFUNCTION("iferror(IFERROR(
HYPERLINK(
  VLOOKUP(
    INDEX(UNIQUE(FLATTEN({'1C'!$A$2:A200,'1C'!$B$2:B200})), ROW(A70)), 
    '1C'!B:O, 12, 0),
  INDEX(UNIQUE(FLATTEN({'1C'!$A$2:A200,'1C'!$B$2:B200})), ROW(A70))),
MATCH(INDEX(UNIQUE(FLATTEN({'1C'!$A$2:A200,'1C'!$B$2"&amp;":B200})), ROW(A70)), L$3:L200, 0)
),)"),"КОНТРОЛЕРИ НАСОСНОЇ СТАНЦІЇ/РЕЛЕ ТИСКУ")</f>
        <v>КОНТРОЛЕРИ НАСОСНОЇ СТАНЦІЇ/РЕЛЕ ТИСКУ</v>
      </c>
      <c r="B72" s="89">
        <f ca="1">IFERROR(
  VLOOKUP(A72, '1C'!B:D, 3, 0),)</f>
        <v>0</v>
      </c>
      <c r="C72" s="89"/>
      <c r="D72" s="80">
        <f ca="1">IFERROR(
  VLOOKUP(A72, '1C'!B:J, 9, 0),)</f>
        <v>0</v>
      </c>
      <c r="E72" s="81">
        <f ca="1">IFERROR(
  VLOOKUP(A72, '1C'!B:Q, 15, 0),)</f>
        <v>0</v>
      </c>
      <c r="F72" s="82">
        <f ca="1">IFERROR(
  VLOOKUP(A72, '1C'!B:S, 18, 0),)</f>
        <v>0</v>
      </c>
      <c r="G72" s="83">
        <f ca="1">IFERROR(
  VLOOKUP(A72, '1C'!B:U, 19, 0),)</f>
        <v>0</v>
      </c>
      <c r="H72" s="81">
        <f ca="1">IFERROR(
  VLOOKUP(A72, '1C'!B:G, 6, 0),)</f>
        <v>0</v>
      </c>
      <c r="I72" s="90">
        <f ca="1">IFERROR( VLOOKUP(A72, '1C'!B:I, 8, 0),)</f>
        <v>0</v>
      </c>
      <c r="J72" s="91">
        <f ca="1">IFERROR(
  VLOOKUP(A72, '1C'!B:H, 7, 0),)</f>
        <v>0</v>
      </c>
      <c r="K72" s="86"/>
      <c r="L72" s="92"/>
    </row>
    <row r="73" spans="1:12" ht="26.4">
      <c r="A73" s="88" t="str">
        <f ca="1">IFERROR(__xludf.DUMMYFUNCTION("iferror(IFERROR(
HYPERLINK(
  VLOOKUP(
    INDEX(UNIQUE(FLATTEN({'1C'!$A$2:A200,'1C'!$B$2:B200})), ROW(A71)), 
    '1C'!B:O, 12, 0),
  INDEX(UNIQUE(FLATTEN({'1C'!$A$2:A200,'1C'!$B$2:B200})), ROW(A71))),
MATCH(INDEX(UNIQUE(FLATTEN({'1C'!$A$2:A200,'1C'!$B$2"&amp;":B200})), ROW(A71)), L$3:L200, 0)
),)"),"МСК-107")</f>
        <v>МСК-107</v>
      </c>
      <c r="B73" s="89">
        <f ca="1">IFERROR(
  VLOOKUP(A73, '1C'!B:D, 3, 0),)</f>
        <v>4240</v>
      </c>
      <c r="C73" s="89">
        <f ca="1">IFERROR(
  VLOOKUP(A73, '1C'!B:Y, 24, 0),)</f>
        <v>4240</v>
      </c>
      <c r="D73" s="80" t="str">
        <f ca="1">IFERROR(
  VLOOKUP(A73, '1C'!B:J, 9, 0),)</f>
        <v>Реле рівня/ЕКМ, режими роботи - наповнення, дренаж. ModBus, індикація, пана робота з УБЗ-301</v>
      </c>
      <c r="E73" s="81" t="str">
        <f ca="1">IFERROR(
  VLOOKUP(A73, '1C'!B:Q, 15, 0),)</f>
        <v>DIN</v>
      </c>
      <c r="F73" s="82">
        <f ca="1">IFERROR(
  VLOOKUP(A73, '1C'!B:S, 18, 0),)</f>
        <v>4</v>
      </c>
      <c r="G73" s="83" t="str">
        <f ca="1">IFERROR(
  VLOOKUP(A73, '1C'!B:U, 19, 0),)</f>
        <v>16А</v>
      </c>
      <c r="H73" s="81" t="str">
        <f ca="1">IFERROR(
  VLOOKUP(A73, '1C'!B:G, 6, 0),)</f>
        <v>NTMCK1070</v>
      </c>
      <c r="I73" s="90">
        <f ca="1">IFERROR( VLOOKUP(A73, '1C'!B:I, 8, 0),)</f>
        <v>0</v>
      </c>
      <c r="J73" s="91" t="str">
        <f ca="1">IFERROR(
  VLOOKUP(A73, '1C'!B:H, 7, 0),)</f>
        <v>9032 89 00 00</v>
      </c>
      <c r="K73" s="86"/>
      <c r="L73" s="92"/>
    </row>
    <row r="74" spans="1:12" ht="14.4">
      <c r="A74" s="88" t="str">
        <f ca="1">IFERROR(__xludf.DUMMYFUNCTION("iferror(IFERROR(
HYPERLINK(
  VLOOKUP(
    INDEX(UNIQUE(FLATTEN({'1C'!$A$2:A200,'1C'!$B$2:B200})), ROW(A72)), 
    '1C'!B:O, 12, 0),
  INDEX(UNIQUE(FLATTEN({'1C'!$A$2:A200,'1C'!$B$2:B200})), ROW(A72))),
MATCH(INDEX(UNIQUE(FLATTEN({'1C'!$A$2:A200,'1C'!$B$2"&amp;":B200})), ROW(A72)), L$3:L200, 0)
),)"),"МСК-108")</f>
        <v>МСК-108</v>
      </c>
      <c r="B74" s="89">
        <f ca="1">IFERROR(
  VLOOKUP(A74, '1C'!B:D, 3, 0),)</f>
        <v>1805</v>
      </c>
      <c r="C74" s="89">
        <f ca="1">IFERROR(
  VLOOKUP(A74, '1C'!B:Y, 24, 0),)</f>
        <v>1805</v>
      </c>
      <c r="D74" s="80" t="str">
        <f ca="1">IFERROR(
  VLOOKUP(A74, '1C'!B:J, 9, 0),)</f>
        <v>Реле рівня/ЕКМ, режими роботи - наповнення, дренаж</v>
      </c>
      <c r="E74" s="81" t="str">
        <f ca="1">IFERROR(
  VLOOKUP(A74, '1C'!B:Q, 15, 0),)</f>
        <v>DIN</v>
      </c>
      <c r="F74" s="82">
        <f ca="1">IFERROR(
  VLOOKUP(A74, '1C'!B:S, 18, 0),)</f>
        <v>3</v>
      </c>
      <c r="G74" s="83" t="str">
        <f ca="1">IFERROR(
  VLOOKUP(A74, '1C'!B:U, 19, 0),)</f>
        <v>10А</v>
      </c>
      <c r="H74" s="81" t="str">
        <f ca="1">IFERROR(
  VLOOKUP(A74, '1C'!B:G, 6, 0),)</f>
        <v>NTMCK1080</v>
      </c>
      <c r="I74" s="90">
        <f ca="1">IFERROR( VLOOKUP(A74, '1C'!B:I, 8, 0),)</f>
        <v>0</v>
      </c>
      <c r="J74" s="91" t="str">
        <f ca="1">IFERROR(
  VLOOKUP(A74, '1C'!B:H, 7, 0),)</f>
        <v>9032 89 00 00</v>
      </c>
      <c r="K74" s="86"/>
      <c r="L74" s="92"/>
    </row>
    <row r="75" spans="1:12" ht="14.4">
      <c r="A75" s="93" t="str">
        <f ca="1">IFERROR(__xludf.DUMMYFUNCTION("iferror(IFERROR(
HYPERLINK(
  VLOOKUP(
    INDEX(UNIQUE(FLATTEN({'1C'!$A$2:A200,'1C'!$B$2:B200})), ROW(A73)), 
    '1C'!B:O, 12, 0),
  INDEX(UNIQUE(FLATTEN({'1C'!$A$2:A200,'1C'!$B$2:B200})), ROW(A73))),
MATCH(INDEX(UNIQUE(FLATTEN({'1C'!$A$2:A200,'1C'!$B$2"&amp;":B200})), ROW(A73)), L$3:L200, 0)
),)"),"РЕЄСТРАТОР ЕЛЕКТРИЧНИХ ПАРАМЕТРІВ")</f>
        <v>РЕЄСТРАТОР ЕЛЕКТРИЧНИХ ПАРАМЕТРІВ</v>
      </c>
      <c r="B75" s="89">
        <f ca="1">IFERROR(
  VLOOKUP(A75, '1C'!B:D, 3, 0),)</f>
        <v>0</v>
      </c>
      <c r="C75" s="89"/>
      <c r="D75" s="80">
        <f ca="1">IFERROR(
  VLOOKUP(A75, '1C'!B:J, 9, 0),)</f>
        <v>0</v>
      </c>
      <c r="E75" s="81">
        <f ca="1">IFERROR(
  VLOOKUP(A75, '1C'!B:Q, 15, 0),)</f>
        <v>0</v>
      </c>
      <c r="F75" s="82">
        <f ca="1">IFERROR(
  VLOOKUP(A75, '1C'!B:S, 18, 0),)</f>
        <v>0</v>
      </c>
      <c r="G75" s="83">
        <f ca="1">IFERROR(
  VLOOKUP(A75, '1C'!B:U, 19, 0),)</f>
        <v>0</v>
      </c>
      <c r="H75" s="81">
        <f ca="1">IFERROR(
  VLOOKUP(A75, '1C'!B:G, 6, 0),)</f>
        <v>0</v>
      </c>
      <c r="I75" s="90">
        <f ca="1">IFERROR( VLOOKUP(A75, '1C'!B:I, 8, 0),)</f>
        <v>0</v>
      </c>
      <c r="J75" s="91">
        <f ca="1">IFERROR(
  VLOOKUP(A75, '1C'!B:H, 7, 0),)</f>
        <v>0</v>
      </c>
      <c r="K75" s="86"/>
      <c r="L75" s="92"/>
    </row>
    <row r="76" spans="1:12" ht="26.4">
      <c r="A76" s="88" t="str">
        <f ca="1">IFERROR(__xludf.DUMMYFUNCTION("iferror(IFERROR(
HYPERLINK(
  VLOOKUP(
    INDEX(UNIQUE(FLATTEN({'1C'!$A$2:A200,'1C'!$B$2:B200})), ROW(A74)), 
    '1C'!B:O, 12, 0),
  INDEX(UNIQUE(FLATTEN({'1C'!$A$2:A200,'1C'!$B$2:B200})), ROW(A74))),
MATCH(INDEX(UNIQUE(FLATTEN({'1C'!$A$2:A200,'1C'!$B$2"&amp;":B200})), ROW(A74)), L$3:L200, 0)
),)"),"РПМ-416")</f>
        <v>РПМ-416</v>
      </c>
      <c r="B76" s="89">
        <f ca="1">IFERROR(
  VLOOKUP(A76, '1C'!B:D, 3, 0),)</f>
        <v>14670</v>
      </c>
      <c r="C76" s="89">
        <f ca="1">IFERROR(
  VLOOKUP(A76, '1C'!B:Y, 24, 0),)</f>
        <v>14670</v>
      </c>
      <c r="D76" s="80" t="str">
        <f ca="1">IFERROR(
  VLOOKUP(A76, '1C'!B:J, 9, 0),)</f>
        <v>Аналізатор якості електромережі, запис на карту, 21 канал, ModBus TCP, додаток на ПК</v>
      </c>
      <c r="E76" s="81" t="str">
        <f ca="1">IFERROR(
  VLOOKUP(A76, '1C'!B:Q, 15, 0),)</f>
        <v>DIN</v>
      </c>
      <c r="F76" s="82">
        <f ca="1">IFERROR(
  VLOOKUP(A76, '1C'!B:S, 18, 0),)</f>
        <v>9</v>
      </c>
      <c r="G76" s="83" t="str">
        <f ca="1">IFERROR(
  VLOOKUP(A76, '1C'!B:U, 19, 0),)</f>
        <v>-</v>
      </c>
      <c r="H76" s="81" t="str">
        <f ca="1">IFERROR(
  VLOOKUP(A76, '1C'!B:G, 6, 0),)</f>
        <v>NTRPM4160</v>
      </c>
      <c r="I76" s="90">
        <f ca="1">IFERROR( VLOOKUP(A76, '1C'!B:I, 8, 0),)</f>
        <v>4820122950528</v>
      </c>
      <c r="J76" s="91" t="str">
        <f ca="1">IFERROR(
  VLOOKUP(A76, '1C'!B:H, 7, 0),)</f>
        <v>9030 32 00 00</v>
      </c>
      <c r="K76" s="86"/>
      <c r="L76" s="92"/>
    </row>
    <row r="77" spans="1:12" ht="39.6">
      <c r="A77" s="88" t="str">
        <f ca="1">IFERROR(__xludf.DUMMYFUNCTION("iferror(IFERROR(
HYPERLINK(
  VLOOKUP(
    INDEX(UNIQUE(FLATTEN({'1C'!$A$2:A200,'1C'!$B$2:B200})), ROW(A75)), 
    '1C'!B:O, 12, 0),
  INDEX(UNIQUE(FLATTEN({'1C'!$A$2:A200,'1C'!$B$2:B200})), ROW(A75))),
MATCH(INDEX(UNIQUE(FLATTEN({'1C'!$A$2:A200,'1C'!$B$2"&amp;":B200})), ROW(A75)), L$3:L200, 0)
),)"),"Мобільна станція РПМ 100/5")</f>
        <v>Мобільна станція РПМ 100/5</v>
      </c>
      <c r="B77" s="89" t="str">
        <f ca="1">IFERROR(
  VLOOKUP(A77, '1C'!B:D, 3, 0),)</f>
        <v>під замовлення</v>
      </c>
      <c r="C77" s="89" t="str">
        <f ca="1">IFERROR(
  VLOOKUP(A77, '1C'!B:Y, 24, 0),)</f>
        <v>під замовлення</v>
      </c>
      <c r="D77" s="80" t="str">
        <f ca="1">IFERROR(
  VLOOKUP(A77, '1C'!B:J, 9, 0),)</f>
        <v>Мобільна станція реєстрації параметрів електромережі на базі пристрою РПМ-416, готова до використання. Комплект: щит IP, автомат, РПМ-416, 3 трансформатори струму 100/5, зажими, UTP-кабель. Можлива оренда</v>
      </c>
      <c r="E77" s="81" t="str">
        <f ca="1">IFERROR(
  VLOOKUP(A77, '1C'!B:Q, 15, 0),)</f>
        <v>Шафа</v>
      </c>
      <c r="F77" s="82" t="str">
        <f ca="1">IFERROR(
  VLOOKUP(A77, '1C'!B:S, 18, 0),)</f>
        <v>-</v>
      </c>
      <c r="G77" s="83" t="str">
        <f ca="1">IFERROR(
  VLOOKUP(A77, '1C'!B:U, 19, 0),)</f>
        <v>100А</v>
      </c>
      <c r="H77" s="81" t="str">
        <f ca="1">IFERROR(
  VLOOKUP(A77, '1C'!B:G, 6, 0),)</f>
        <v>NTRPM4161</v>
      </c>
      <c r="I77" s="90" t="str">
        <f ca="1">IFERROR( VLOOKUP(A77, '1C'!B:I, 8, 0),)</f>
        <v>-</v>
      </c>
      <c r="J77" s="91" t="str">
        <f ca="1">IFERROR(
  VLOOKUP(A77, '1C'!B:H, 7, 0),)</f>
        <v>-</v>
      </c>
      <c r="K77" s="86"/>
      <c r="L77" s="92"/>
    </row>
    <row r="78" spans="1:12" ht="39.6">
      <c r="A78" s="88" t="str">
        <f ca="1">IFERROR(__xludf.DUMMYFUNCTION("iferror(IFERROR(
HYPERLINK(
  VLOOKUP(
    INDEX(UNIQUE(FLATTEN({'1C'!$A$2:A200,'1C'!$B$2:B200})), ROW(A76)), 
    '1C'!B:O, 12, 0),
  INDEX(UNIQUE(FLATTEN({'1C'!$A$2:A200,'1C'!$B$2:B200})), ROW(A76))),
MATCH(INDEX(UNIQUE(FLATTEN({'1C'!$A$2:A200,'1C'!$B$2"&amp;":B200})), ROW(A76)), L$3:L200, 0)
),)"),"Мобільна станція РПМ 200/5")</f>
        <v>Мобільна станція РПМ 200/5</v>
      </c>
      <c r="B78" s="89" t="str">
        <f ca="1">IFERROR(
  VLOOKUP(A78, '1C'!B:D, 3, 0),)</f>
        <v>під замовлення</v>
      </c>
      <c r="C78" s="89" t="str">
        <f ca="1">IFERROR(
  VLOOKUP(A78, '1C'!B:Y, 24, 0),)</f>
        <v>під замовлення</v>
      </c>
      <c r="D78" s="80" t="str">
        <f ca="1">IFERROR(
  VLOOKUP(A78, '1C'!B:J, 9, 0),)</f>
        <v>Мобільна станція реєстрації параметрів електромережі на базі пристрою РПМ-416, готова до використання. Комплект: щит IP, автомат, РПМ-416, 3 трансформатори струму 200/5, зажими, UTP-кабель. Можлива оренда</v>
      </c>
      <c r="E78" s="81" t="str">
        <f ca="1">IFERROR(
  VLOOKUP(A78, '1C'!B:Q, 15, 0),)</f>
        <v>Шафа</v>
      </c>
      <c r="F78" s="82" t="str">
        <f ca="1">IFERROR(
  VLOOKUP(A78, '1C'!B:S, 18, 0),)</f>
        <v>-</v>
      </c>
      <c r="G78" s="83" t="str">
        <f ca="1">IFERROR(
  VLOOKUP(A78, '1C'!B:U, 19, 0),)</f>
        <v>200А</v>
      </c>
      <c r="H78" s="81" t="str">
        <f ca="1">IFERROR(
  VLOOKUP(A78, '1C'!B:G, 6, 0),)</f>
        <v>NTRPM4162</v>
      </c>
      <c r="I78" s="90">
        <f ca="1">IFERROR( VLOOKUP(A78, '1C'!B:I, 8, 0),)</f>
        <v>0</v>
      </c>
      <c r="J78" s="91" t="str">
        <f ca="1">IFERROR(
  VLOOKUP(A78, '1C'!B:H, 7, 0),)</f>
        <v>-</v>
      </c>
      <c r="K78" s="86"/>
      <c r="L78" s="92"/>
    </row>
    <row r="79" spans="1:12" ht="39.6">
      <c r="A79" s="88" t="str">
        <f ca="1">IFERROR(__xludf.DUMMYFUNCTION("iferror(IFERROR(
HYPERLINK(
  VLOOKUP(
    INDEX(UNIQUE(FLATTEN({'1C'!$A$2:A200,'1C'!$B$2:B200})), ROW(A77)), 
    '1C'!B:O, 12, 0),
  INDEX(UNIQUE(FLATTEN({'1C'!$A$2:A200,'1C'!$B$2:B200})), ROW(A77))),
MATCH(INDEX(UNIQUE(FLATTEN({'1C'!$A$2:A200,'1C'!$B$2"&amp;":B200})), ROW(A77)), L$3:L200, 0)
),)"),"Мобільна станція РПМ 400/5")</f>
        <v>Мобільна станція РПМ 400/5</v>
      </c>
      <c r="B79" s="89" t="str">
        <f ca="1">IFERROR(
  VLOOKUP(A79, '1C'!B:D, 3, 0),)</f>
        <v>під замовлення</v>
      </c>
      <c r="C79" s="89" t="str">
        <f ca="1">IFERROR(
  VLOOKUP(A79, '1C'!B:Y, 24, 0),)</f>
        <v>під замовлення</v>
      </c>
      <c r="D79" s="80" t="str">
        <f ca="1">IFERROR(
  VLOOKUP(A79, '1C'!B:J, 9, 0),)</f>
        <v>Мобільна станція реєстрації параметрів електромережі на базі пристрою РПМ-416, готова до використання. Комплект: щит IP, автомат, РПМ-416, 3 трансформатори струму 400/5, зажими, UTP-кабель. Можлива оренда</v>
      </c>
      <c r="E79" s="81" t="str">
        <f ca="1">IFERROR(
  VLOOKUP(A79, '1C'!B:Q, 15, 0),)</f>
        <v>Шафа</v>
      </c>
      <c r="F79" s="82" t="str">
        <f ca="1">IFERROR(
  VLOOKUP(A79, '1C'!B:S, 18, 0),)</f>
        <v>-</v>
      </c>
      <c r="G79" s="83" t="str">
        <f ca="1">IFERROR(
  VLOOKUP(A79, '1C'!B:U, 19, 0),)</f>
        <v>400А</v>
      </c>
      <c r="H79" s="81" t="str">
        <f ca="1">IFERROR(
  VLOOKUP(A79, '1C'!B:G, 6, 0),)</f>
        <v>NTRPM4164</v>
      </c>
      <c r="I79" s="90">
        <f ca="1">IFERROR( VLOOKUP(A79, '1C'!B:I, 8, 0),)</f>
        <v>0</v>
      </c>
      <c r="J79" s="91" t="str">
        <f ca="1">IFERROR(
  VLOOKUP(A79, '1C'!B:H, 7, 0),)</f>
        <v>-</v>
      </c>
      <c r="K79" s="86"/>
      <c r="L79" s="92"/>
    </row>
    <row r="80" spans="1:12" ht="39.6">
      <c r="A80" s="88" t="str">
        <f ca="1">IFERROR(__xludf.DUMMYFUNCTION("iferror(IFERROR(
HYPERLINK(
  VLOOKUP(
    INDEX(UNIQUE(FLATTEN({'1C'!$A$2:A200,'1C'!$B$2:B200})), ROW(A78)), 
    '1C'!B:O, 12, 0),
  INDEX(UNIQUE(FLATTEN({'1C'!$A$2:A200,'1C'!$B$2:B200})), ROW(A78))),
MATCH(INDEX(UNIQUE(FLATTEN({'1C'!$A$2:A200,'1C'!$B$2"&amp;":B200})), ROW(A78)), L$3:L200, 0)
),)"),"Мобільна станція РПМ 800/5")</f>
        <v>Мобільна станція РПМ 800/5</v>
      </c>
      <c r="B80" s="89" t="str">
        <f ca="1">IFERROR(
  VLOOKUP(A80, '1C'!B:D, 3, 0),)</f>
        <v>під замовлення</v>
      </c>
      <c r="C80" s="89" t="str">
        <f ca="1">IFERROR(
  VLOOKUP(A80, '1C'!B:Y, 24, 0),)</f>
        <v>під замовлення</v>
      </c>
      <c r="D80" s="80" t="str">
        <f ca="1">IFERROR(
  VLOOKUP(A80, '1C'!B:J, 9, 0),)</f>
        <v>Мобільна станція реєстрації параметрів електромережі на базі пристрою РПМ-416, готова до використання. Комплект: щит IP, автомат, РПМ-416, 3 трансформатори струму 800/5, зажими, UTP-кабель. Можлива оренда</v>
      </c>
      <c r="E80" s="81" t="str">
        <f ca="1">IFERROR(
  VLOOKUP(A80, '1C'!B:Q, 15, 0),)</f>
        <v>Шафа</v>
      </c>
      <c r="F80" s="82" t="str">
        <f ca="1">IFERROR(
  VLOOKUP(A80, '1C'!B:S, 18, 0),)</f>
        <v>-</v>
      </c>
      <c r="G80" s="83" t="str">
        <f ca="1">IFERROR(
  VLOOKUP(A80, '1C'!B:U, 19, 0),)</f>
        <v>800А</v>
      </c>
      <c r="H80" s="81" t="str">
        <f ca="1">IFERROR(
  VLOOKUP(A80, '1C'!B:G, 6, 0),)</f>
        <v>NTRPM4168</v>
      </c>
      <c r="I80" s="90">
        <f ca="1">IFERROR( VLOOKUP(A80, '1C'!B:I, 8, 0),)</f>
        <v>0</v>
      </c>
      <c r="J80" s="91" t="str">
        <f ca="1">IFERROR(
  VLOOKUP(A80, '1C'!B:H, 7, 0),)</f>
        <v>-</v>
      </c>
      <c r="K80" s="86"/>
      <c r="L80" s="92"/>
    </row>
    <row r="81" spans="1:12" ht="14.4">
      <c r="A81" s="93" t="str">
        <f ca="1">IFERROR(__xludf.DUMMYFUNCTION("iferror(IFERROR(
HYPERLINK(
  VLOOKUP(
    INDEX(UNIQUE(FLATTEN({'1C'!$A$2:A200,'1C'!$B$2:B200})), ROW(A79)), 
    '1C'!B:O, 12, 0),
  INDEX(UNIQUE(FLATTEN({'1C'!$A$2:A200,'1C'!$B$2:B200})), ROW(A79))),
MATCH(INDEX(UNIQUE(FLATTEN({'1C'!$A$2:A200,'1C'!$B$2"&amp;":B200})), ROW(A79)), L$3:L200, 0)
),)"),"КОМПЕНСАТОР РЕАКТИВНОЇ ПОТУЖНОСТІ")</f>
        <v>КОМПЕНСАТОР РЕАКТИВНОЇ ПОТУЖНОСТІ</v>
      </c>
      <c r="B81" s="89">
        <f ca="1">IFERROR(
  VLOOKUP(A81, '1C'!B:D, 3, 0),)</f>
        <v>0</v>
      </c>
      <c r="C81" s="89"/>
      <c r="D81" s="80">
        <f ca="1">IFERROR(
  VLOOKUP(A81, '1C'!B:J, 9, 0),)</f>
        <v>0</v>
      </c>
      <c r="E81" s="81">
        <f ca="1">IFERROR(
  VLOOKUP(A81, '1C'!B:Q, 15, 0),)</f>
        <v>0</v>
      </c>
      <c r="F81" s="82">
        <f ca="1">IFERROR(
  VLOOKUP(A81, '1C'!B:S, 18, 0),)</f>
        <v>0</v>
      </c>
      <c r="G81" s="83">
        <f ca="1">IFERROR(
  VLOOKUP(A81, '1C'!B:U, 19, 0),)</f>
        <v>0</v>
      </c>
      <c r="H81" s="81">
        <f ca="1">IFERROR(
  VLOOKUP(A81, '1C'!B:G, 6, 0),)</f>
        <v>0</v>
      </c>
      <c r="I81" s="90">
        <f ca="1">IFERROR( VLOOKUP(A81, '1C'!B:I, 8, 0),)</f>
        <v>0</v>
      </c>
      <c r="J81" s="91">
        <f ca="1">IFERROR(
  VLOOKUP(A81, '1C'!B:H, 7, 0),)</f>
        <v>0</v>
      </c>
      <c r="K81" s="86"/>
      <c r="L81" s="92"/>
    </row>
    <row r="82" spans="1:12" ht="14.4">
      <c r="A82" s="88" t="str">
        <f ca="1">IFERROR(__xludf.DUMMYFUNCTION("iferror(IFERROR(
HYPERLINK(
  VLOOKUP(
    INDEX(UNIQUE(FLATTEN({'1C'!$A$2:A200,'1C'!$B$2:B200})), ROW(A80)), 
    '1C'!B:O, 12, 0),
  INDEX(UNIQUE(FLATTEN({'1C'!$A$2:A200,'1C'!$B$2:B200})), ROW(A80))),
MATCH(INDEX(UNIQUE(FLATTEN({'1C'!$A$2:A200,'1C'!$B$2"&amp;":B200})), ROW(A80)), L$3:L200, 0)
),)"),"КРМ-136")</f>
        <v>КРМ-136</v>
      </c>
      <c r="B82" s="89">
        <f ca="1">IFERROR(
  VLOOKUP(A82, '1C'!B:D, 3, 0),)</f>
        <v>7565</v>
      </c>
      <c r="C82" s="89">
        <f ca="1">IFERROR(
  VLOOKUP(A82, '1C'!B:Y, 24, 0),)</f>
        <v>7565</v>
      </c>
      <c r="D82" s="80" t="str">
        <f ca="1">IFERROR(
  VLOOKUP(A82, '1C'!B:J, 9, 0),)</f>
        <v>Контроле реактивної потужності, 6 "банок" (не входять в комплект)</v>
      </c>
      <c r="E82" s="81" t="str">
        <f ca="1">IFERROR(
  VLOOKUP(A82, '1C'!B:Q, 15, 0),)</f>
        <v>Щит</v>
      </c>
      <c r="F82" s="82" t="str">
        <f ca="1">IFERROR(
  VLOOKUP(A82, '1C'!B:S, 18, 0),)</f>
        <v>-</v>
      </c>
      <c r="G82" s="83" t="str">
        <f ca="1">IFERROR(
  VLOOKUP(A82, '1C'!B:U, 19, 0),)</f>
        <v>7А</v>
      </c>
      <c r="H82" s="81" t="str">
        <f ca="1">IFERROR(
  VLOOKUP(A82, '1C'!B:G, 6, 0),)</f>
        <v>NTKRM1360</v>
      </c>
      <c r="I82" s="90">
        <f ca="1">IFERROR( VLOOKUP(A82, '1C'!B:I, 8, 0),)</f>
        <v>0</v>
      </c>
      <c r="J82" s="91" t="str">
        <f ca="1">IFERROR(
  VLOOKUP(A82, '1C'!B:H, 7, 0),)</f>
        <v>8537 10 91 00</v>
      </c>
      <c r="K82" s="86"/>
      <c r="L82" s="92"/>
    </row>
    <row r="83" spans="1:12" ht="14.4">
      <c r="A83" s="93" t="str">
        <f ca="1">IFERROR(__xludf.DUMMYFUNCTION("iferror(IFERROR(
HYPERLINK(
  VLOOKUP(
    INDEX(UNIQUE(FLATTEN({'1C'!$A$2:A200,'1C'!$B$2:B200})), ROW(A81)), 
    '1C'!B:O, 12, 0),
  INDEX(UNIQUE(FLATTEN({'1C'!$A$2:A200,'1C'!$B$2:B200})), ROW(A81))),
MATCH(INDEX(UNIQUE(FLATTEN({'1C'!$A$2:A200,'1C'!$B$2"&amp;":B200})), ROW(A81)), L$3:L200, 0)
),)"),"ПРИСТРІЙ ПОПЕР. КОНТРОЛЮ ОПОРУ ІЗОЛ.")</f>
        <v>ПРИСТРІЙ ПОПЕР. КОНТРОЛЮ ОПОРУ ІЗОЛ.</v>
      </c>
      <c r="B83" s="89">
        <f ca="1">IFERROR(
  VLOOKUP(A83, '1C'!B:D, 3, 0),)</f>
        <v>0</v>
      </c>
      <c r="C83" s="89"/>
      <c r="D83" s="80">
        <f ca="1">IFERROR(
  VLOOKUP(A83, '1C'!B:J, 9, 0),)</f>
        <v>0</v>
      </c>
      <c r="E83" s="81">
        <f ca="1">IFERROR(
  VLOOKUP(A83, '1C'!B:Q, 15, 0),)</f>
        <v>0</v>
      </c>
      <c r="F83" s="82">
        <f ca="1">IFERROR(
  VLOOKUP(A83, '1C'!B:S, 18, 0),)</f>
        <v>0</v>
      </c>
      <c r="G83" s="83">
        <f ca="1">IFERROR(
  VLOOKUP(A83, '1C'!B:U, 19, 0),)</f>
        <v>0</v>
      </c>
      <c r="H83" s="81">
        <f ca="1">IFERROR(
  VLOOKUP(A83, '1C'!B:G, 6, 0),)</f>
        <v>0</v>
      </c>
      <c r="I83" s="90">
        <f ca="1">IFERROR( VLOOKUP(A83, '1C'!B:I, 8, 0),)</f>
        <v>0</v>
      </c>
      <c r="J83" s="91">
        <f ca="1">IFERROR(
  VLOOKUP(A83, '1C'!B:H, 7, 0),)</f>
        <v>0</v>
      </c>
      <c r="K83" s="86"/>
      <c r="L83" s="92"/>
    </row>
    <row r="84" spans="1:12" ht="14.4">
      <c r="A84" s="88" t="str">
        <f ca="1">IFERROR(__xludf.DUMMYFUNCTION("iferror(IFERROR(
HYPERLINK(
  VLOOKUP(
    INDEX(UNIQUE(FLATTEN({'1C'!$A$2:A200,'1C'!$B$2:B200})), ROW(A82)), 
    '1C'!B:O, 12, 0),
  INDEX(UNIQUE(FLATTEN({'1C'!$A$2:A200,'1C'!$B$2:B200})), ROW(A82))),
MATCH(INDEX(UNIQUE(FLATTEN({'1C'!$A$2:A200,'1C'!$B$2"&amp;":B200})), ROW(A82)), L$3:L200, 0)
),)"),"ППКСИ")</f>
        <v>ППКСИ</v>
      </c>
      <c r="B84" s="89">
        <f ca="1">IFERROR(
  VLOOKUP(A84, '1C'!B:D, 3, 0),)</f>
        <v>36800</v>
      </c>
      <c r="C84" s="89">
        <f ca="1">IFERROR(
  VLOOKUP(A84, '1C'!B:Y, 24, 0),)</f>
        <v>36800</v>
      </c>
      <c r="D84" s="80" t="str">
        <f ca="1">IFERROR(
  VLOOKUP(A84, '1C'!B:J, 9, 0),)</f>
        <v>Пристрій попереднього контролю опору ізоляції</v>
      </c>
      <c r="E84" s="81" t="str">
        <f ca="1">IFERROR(
  VLOOKUP(A84, '1C'!B:Q, 15, 0),)</f>
        <v>Інше</v>
      </c>
      <c r="F84" s="82" t="str">
        <f ca="1">IFERROR(
  VLOOKUP(A84, '1C'!B:S, 18, 0),)</f>
        <v>-</v>
      </c>
      <c r="G84" s="83" t="str">
        <f ca="1">IFERROR(
  VLOOKUP(A84, '1C'!B:U, 19, 0),)</f>
        <v>-</v>
      </c>
      <c r="H84" s="81" t="str">
        <f ca="1">IFERROR(
  VLOOKUP(A84, '1C'!B:G, 6, 0),)</f>
        <v>NTPPKSI00</v>
      </c>
      <c r="I84" s="90">
        <f ca="1">IFERROR( VLOOKUP(A84, '1C'!B:I, 8, 0),)</f>
        <v>0</v>
      </c>
      <c r="J84" s="91" t="str">
        <f ca="1">IFERROR(
  VLOOKUP(A84, '1C'!B:H, 7, 0),)</f>
        <v>9030 33 20 00</v>
      </c>
      <c r="K84" s="86"/>
      <c r="L84" s="92"/>
    </row>
    <row r="85" spans="1:12" ht="14.4">
      <c r="A85" s="93" t="str">
        <f ca="1">IFERROR(__xludf.DUMMYFUNCTION("iferror(IFERROR(
HYPERLINK(
  VLOOKUP(
    INDEX(UNIQUE(FLATTEN({'1C'!$A$2:A200,'1C'!$B$2:B200})), ROW(A83)), 
    '1C'!B:O, 12, 0),
  INDEX(UNIQUE(FLATTEN({'1C'!$A$2:A200,'1C'!$B$2:B200})), ROW(A83))),
MATCH(INDEX(UNIQUE(FLATTEN({'1C'!$A$2:A200,'1C'!$B$2"&amp;":B200})), ROW(A83)), L$3:L200, 0)
),)"),"Блок подільників до ППКСИ")</f>
        <v>Блок подільників до ППКСИ</v>
      </c>
      <c r="B85" s="89">
        <f ca="1">IFERROR(
  VLOOKUP(A85, '1C'!B:D, 3, 0),)</f>
        <v>39680</v>
      </c>
      <c r="C85" s="89">
        <f ca="1">IFERROR(
  VLOOKUP(A85, '1C'!B:Y, 24, 0),)</f>
        <v>39680</v>
      </c>
      <c r="D85" s="80" t="str">
        <f ca="1">IFERROR(
  VLOOKUP(A85, '1C'!B:J, 9, 0),)</f>
        <v>Блок подільників</v>
      </c>
      <c r="E85" s="81" t="str">
        <f ca="1">IFERROR(
  VLOOKUP(A85, '1C'!B:Q, 15, 0),)</f>
        <v>Інше</v>
      </c>
      <c r="F85" s="82">
        <f ca="1">IFERROR(
  VLOOKUP(A85, '1C'!B:S, 18, 0),)</f>
        <v>0</v>
      </c>
      <c r="G85" s="83">
        <f ca="1">IFERROR(
  VLOOKUP(A85, '1C'!B:U, 19, 0),)</f>
        <v>0</v>
      </c>
      <c r="H85" s="81" t="str">
        <f ca="1">IFERROR(
  VLOOKUP(A85, '1C'!B:G, 6, 0),)</f>
        <v>NTPPKSI01</v>
      </c>
      <c r="I85" s="90">
        <f ca="1">IFERROR( VLOOKUP(A85, '1C'!B:I, 8, 0),)</f>
        <v>0</v>
      </c>
      <c r="J85" s="91" t="str">
        <f ca="1">IFERROR(
  VLOOKUP(A85, '1C'!B:H, 7, 0),)</f>
        <v>-</v>
      </c>
      <c r="K85" s="86"/>
      <c r="L85" s="92"/>
    </row>
    <row r="86" spans="1:12" ht="14.4">
      <c r="A86" s="93" t="str">
        <f ca="1">IFERROR(__xludf.DUMMYFUNCTION("iferror(IFERROR(
HYPERLINK(
  VLOOKUP(
    INDEX(UNIQUE(FLATTEN({'1C'!$A$2:A200,'1C'!$B$2:B200})), ROW(A84)), 
    '1C'!B:O, 12, 0),
  INDEX(UNIQUE(FLATTEN({'1C'!$A$2:A200,'1C'!$B$2:B200})), ROW(A84))),
MATCH(INDEX(UNIQUE(FLATTEN({'1C'!$A$2:A200,'1C'!$B$2"&amp;":B200})), ROW(A84)), L$3:L200, 0)
),)"),"ДАТЧИКИ ТЕМПЕРАТУРИ")</f>
        <v>ДАТЧИКИ ТЕМПЕРАТУРИ</v>
      </c>
      <c r="B86" s="89">
        <f ca="1">IFERROR(
  VLOOKUP(A86, '1C'!B:D, 3, 0),)</f>
        <v>0</v>
      </c>
      <c r="C86" s="89"/>
      <c r="D86" s="80">
        <f ca="1">IFERROR(
  VLOOKUP(A86, '1C'!B:J, 9, 0),)</f>
        <v>0</v>
      </c>
      <c r="E86" s="81">
        <f ca="1">IFERROR(
  VLOOKUP(A86, '1C'!B:Q, 15, 0),)</f>
        <v>0</v>
      </c>
      <c r="F86" s="82">
        <f ca="1">IFERROR(
  VLOOKUP(A86, '1C'!B:S, 18, 0),)</f>
        <v>0</v>
      </c>
      <c r="G86" s="83">
        <f ca="1">IFERROR(
  VLOOKUP(A86, '1C'!B:U, 19, 0),)</f>
        <v>0</v>
      </c>
      <c r="H86" s="81">
        <f ca="1">IFERROR(
  VLOOKUP(A86, '1C'!B:G, 6, 0),)</f>
        <v>0</v>
      </c>
      <c r="I86" s="90">
        <f ca="1">IFERROR( VLOOKUP(A86, '1C'!B:I, 8, 0),)</f>
        <v>0</v>
      </c>
      <c r="J86" s="91">
        <f ca="1">IFERROR(
  VLOOKUP(A86, '1C'!B:H, 7, 0),)</f>
        <v>0</v>
      </c>
      <c r="K86" s="86"/>
      <c r="L86" s="92"/>
    </row>
    <row r="87" spans="1:12" ht="14.4">
      <c r="A87" s="88" t="str">
        <f ca="1">IFERROR(__xludf.DUMMYFUNCTION("iferror(IFERROR(
HYPERLINK(
  VLOOKUP(
    INDEX(UNIQUE(FLATTEN({'1C'!$A$2:A200,'1C'!$B$2:B200})), ROW(A85)), 
    '1C'!B:O, 12, 0),
  INDEX(UNIQUE(FLATTEN({'1C'!$A$2:A200,'1C'!$B$2:B200})), ROW(A85))),
MATCH(INDEX(UNIQUE(FLATTEN({'1C'!$A$2:A200,'1C'!$B$2"&amp;":B200})), ROW(A85)), L$3:L200, 0)
),)"),"NTC к МСК-102")</f>
        <v>NTC к МСК-102</v>
      </c>
      <c r="B87" s="89">
        <f ca="1">IFERROR(
  VLOOKUP(A87, '1C'!B:D, 3, 0),)</f>
        <v>240</v>
      </c>
      <c r="C87" s="89">
        <f ca="1">IFERROR(
  VLOOKUP(A87, '1C'!B:Y, 24, 0),)</f>
        <v>240</v>
      </c>
      <c r="D87" s="80" t="str">
        <f ca="1">IFERROR(
  VLOOKUP(A87, '1C'!B:J, 9, 0),)</f>
        <v>Датчик температури NTC 10 кОм -40°С / +125°С</v>
      </c>
      <c r="E87" s="81" t="str">
        <f ca="1">IFERROR(
  VLOOKUP(A87, '1C'!B:Q, 15, 0),)</f>
        <v>Інше</v>
      </c>
      <c r="F87" s="82" t="str">
        <f ca="1">IFERROR(
  VLOOKUP(A87, '1C'!B:S, 18, 0),)</f>
        <v>-</v>
      </c>
      <c r="G87" s="83" t="str">
        <f ca="1">IFERROR(
  VLOOKUP(A87, '1C'!B:U, 19, 0),)</f>
        <v>-</v>
      </c>
      <c r="H87" s="81" t="str">
        <f ca="1">IFERROR(
  VLOOKUP(A87, '1C'!B:G, 6, 0),)</f>
        <v>NTNTC10KB</v>
      </c>
      <c r="I87" s="90">
        <f ca="1">IFERROR( VLOOKUP(A87, '1C'!B:I, 8, 0),)</f>
        <v>0</v>
      </c>
      <c r="J87" s="91" t="str">
        <f ca="1">IFERROR(
  VLOOKUP(A87, '1C'!B:H, 7, 0),)</f>
        <v>9025 90 00 98</v>
      </c>
      <c r="K87" s="86"/>
      <c r="L87" s="92"/>
    </row>
    <row r="88" spans="1:12" ht="14.4">
      <c r="A88" s="88" t="str">
        <f ca="1">IFERROR(__xludf.DUMMYFUNCTION("iferror(IFERROR(
HYPERLINK(
  VLOOKUP(
    INDEX(UNIQUE(FLATTEN({'1C'!$A$2:A200,'1C'!$B$2:B200})), ROW(A86)), 
    '1C'!B:O, 12, 0),
  INDEX(UNIQUE(FLATTEN({'1C'!$A$2:A200,'1C'!$B$2:B200})), ROW(A86))),
MATCH(INDEX(UNIQUE(FLATTEN({'1C'!$A$2:A200,'1C'!$B$2"&amp;":B200})), ROW(A86)), L$3:L200, 0)
),)"),"PTC к МСК-301")</f>
        <v>PTC к МСК-301</v>
      </c>
      <c r="B88" s="89">
        <f ca="1">IFERROR(
  VLOOKUP(A88, '1C'!B:D, 3, 0),)</f>
        <v>430</v>
      </c>
      <c r="C88" s="89">
        <f ca="1">IFERROR(
  VLOOKUP(A88, '1C'!B:Y, 24, 0),)</f>
        <v>430</v>
      </c>
      <c r="D88" s="80" t="str">
        <f ca="1">IFERROR(
  VLOOKUP(A88, '1C'!B:J, 9, 0),)</f>
        <v>Датчик температури PTC -55°С / +100°С</v>
      </c>
      <c r="E88" s="81" t="str">
        <f ca="1">IFERROR(
  VLOOKUP(A88, '1C'!B:Q, 15, 0),)</f>
        <v>Інше</v>
      </c>
      <c r="F88" s="82" t="str">
        <f ca="1">IFERROR(
  VLOOKUP(A88, '1C'!B:S, 18, 0),)</f>
        <v>-</v>
      </c>
      <c r="G88" s="83" t="str">
        <f ca="1">IFERROR(
  VLOOKUP(A88, '1C'!B:U, 19, 0),)</f>
        <v>-</v>
      </c>
      <c r="H88" s="81" t="str">
        <f ca="1">IFERROR(
  VLOOKUP(A88, '1C'!B:G, 6, 0),)</f>
        <v>NTPTC1000</v>
      </c>
      <c r="I88" s="90">
        <f ca="1">IFERROR( VLOOKUP(A88, '1C'!B:I, 8, 0),)</f>
        <v>0</v>
      </c>
      <c r="J88" s="91" t="str">
        <f ca="1">IFERROR(
  VLOOKUP(A88, '1C'!B:H, 7, 0),)</f>
        <v>9025 90 00 98</v>
      </c>
      <c r="K88" s="86"/>
      <c r="L88" s="92"/>
    </row>
    <row r="89" spans="1:12" ht="14.4">
      <c r="A89" s="88" t="str">
        <f ca="1">IFERROR(__xludf.DUMMYFUNCTION("iferror(IFERROR(
HYPERLINK(
  VLOOKUP(
    INDEX(UNIQUE(FLATTEN({'1C'!$A$2:A200,'1C'!$B$2:B200})), ROW(A87)), 
    '1C'!B:O, 12, 0),
  INDEX(UNIQUE(FLATTEN({'1C'!$A$2:A200,'1C'!$B$2:B200})), ROW(A87))),
MATCH(INDEX(UNIQUE(FLATTEN({'1C'!$A$2:A200,'1C'!$B$2"&amp;":B200})), ROW(A87)), L$3:L200, 0)
),)"),"NTC к МСК-301-5")</f>
        <v>NTC к МСК-301-5</v>
      </c>
      <c r="B89" s="89">
        <f ca="1">IFERROR(
  VLOOKUP(A89, '1C'!B:D, 3, 0),)</f>
        <v>1260</v>
      </c>
      <c r="C89" s="89">
        <f ca="1">IFERROR(
  VLOOKUP(A89, '1C'!B:Y, 24, 0),)</f>
        <v>1260</v>
      </c>
      <c r="D89" s="80" t="str">
        <f ca="1">IFERROR(
  VLOOKUP(A89, '1C'!B:J, 9, 0),)</f>
        <v>Датчик температури, голчастий для фруктів -10°С / +80°С</v>
      </c>
      <c r="E89" s="81" t="str">
        <f ca="1">IFERROR(
  VLOOKUP(A89, '1C'!B:Q, 15, 0),)</f>
        <v>Інше</v>
      </c>
      <c r="F89" s="82" t="str">
        <f ca="1">IFERROR(
  VLOOKUP(A89, '1C'!B:S, 18, 0),)</f>
        <v>-</v>
      </c>
      <c r="G89" s="83" t="str">
        <f ca="1">IFERROR(
  VLOOKUP(A89, '1C'!B:U, 19, 0),)</f>
        <v>-</v>
      </c>
      <c r="H89" s="81" t="str">
        <f ca="1">IFERROR(
  VLOOKUP(A89, '1C'!B:G, 6, 0),)</f>
        <v>NTNTC10KA</v>
      </c>
      <c r="I89" s="90">
        <f ca="1">IFERROR( VLOOKUP(A89, '1C'!B:I, 8, 0),)</f>
        <v>0</v>
      </c>
      <c r="J89" s="91" t="str">
        <f ca="1">IFERROR(
  VLOOKUP(A89, '1C'!B:H, 7, 0),)</f>
        <v>9025 90 00 98</v>
      </c>
      <c r="K89" s="86"/>
      <c r="L89" s="92"/>
    </row>
    <row r="90" spans="1:12" ht="14.4">
      <c r="A90" s="88" t="str">
        <f ca="1">IFERROR(__xludf.DUMMYFUNCTION("iferror(IFERROR(
HYPERLINK(
  VLOOKUP(
    INDEX(UNIQUE(FLATTEN({'1C'!$A$2:A200,'1C'!$B$2:B200})), ROW(A88)), 
    '1C'!B:O, 12, 0),
  INDEX(UNIQUE(FLATTEN({'1C'!$A$2:A200,'1C'!$B$2:B200})), ROW(A88))),
MATCH(INDEX(UNIQUE(FLATTEN({'1C'!$A$2:A200,'1C'!$B$2"&amp;":B200})), ROW(A88)), L$3:L200, 0)
),)"),"РТ-100 к ТР-100")</f>
        <v>РТ-100 к ТР-100</v>
      </c>
      <c r="B90" s="89">
        <f ca="1">IFERROR(
  VLOOKUP(A90, '1C'!B:D, 3, 0),)</f>
        <v>860</v>
      </c>
      <c r="C90" s="89">
        <f ca="1">IFERROR(
  VLOOKUP(A90, '1C'!B:Y, 24, 0),)</f>
        <v>860</v>
      </c>
      <c r="D90" s="80" t="str">
        <f ca="1">IFERROR(
  VLOOKUP(A90, '1C'!B:J, 9, 0),)</f>
        <v>Датчик температури РТ-100 -60°С / +150°С</v>
      </c>
      <c r="E90" s="81" t="str">
        <f ca="1">IFERROR(
  VLOOKUP(A90, '1C'!B:Q, 15, 0),)</f>
        <v>Інше</v>
      </c>
      <c r="F90" s="82" t="str">
        <f ca="1">IFERROR(
  VLOOKUP(A90, '1C'!B:S, 18, 0),)</f>
        <v>-</v>
      </c>
      <c r="G90" s="83" t="str">
        <f ca="1">IFERROR(
  VLOOKUP(A90, '1C'!B:U, 19, 0),)</f>
        <v>-</v>
      </c>
      <c r="H90" s="81" t="str">
        <f ca="1">IFERROR(
  VLOOKUP(A90, '1C'!B:G, 6, 0),)</f>
        <v>NTPT100L3</v>
      </c>
      <c r="I90" s="90">
        <f ca="1">IFERROR( VLOOKUP(A90, '1C'!B:I, 8, 0),)</f>
        <v>0</v>
      </c>
      <c r="J90" s="91" t="str">
        <f ca="1">IFERROR(
  VLOOKUP(A90, '1C'!B:H, 7, 0),)</f>
        <v>9025 90 00 98</v>
      </c>
      <c r="K90" s="86"/>
      <c r="L90" s="92"/>
    </row>
    <row r="91" spans="1:12" ht="14.4">
      <c r="A91" s="93" t="str">
        <f ca="1">IFERROR(__xludf.DUMMYFUNCTION("iferror(IFERROR(
HYPERLINK(
  VLOOKUP(
    INDEX(UNIQUE(FLATTEN({'1C'!$A$2:A200,'1C'!$B$2:B200})), ROW(A89)), 
    '1C'!B:O, 12, 0),
  INDEX(UNIQUE(FLATTEN({'1C'!$A$2:A200,'1C'!$B$2:B200})), ROW(A89))),
MATCH(INDEX(UNIQUE(FLATTEN({'1C'!$A$2:A200,'1C'!$B$2"&amp;":B200})), ROW(A89)), L$3:L200, 0)
),)"),"MCK-33")</f>
        <v>MCK-33</v>
      </c>
      <c r="B91" s="89" t="str">
        <f ca="1">IFERROR(
  VLOOKUP(A91, '1C'!B:D, 3, 0),)</f>
        <v>-</v>
      </c>
      <c r="C91" s="89" t="str">
        <f ca="1">IFERROR(
  VLOOKUP(A91, '1C'!B:Y, 24, 0),)</f>
        <v>-</v>
      </c>
      <c r="D91" s="80" t="str">
        <f ca="1">IFERROR(
  VLOOKUP(A91, '1C'!B:J, 9, 0),)</f>
        <v>-</v>
      </c>
      <c r="E91" s="81" t="str">
        <f ca="1">IFERROR(
  VLOOKUP(A91, '1C'!B:Q, 15, 0),)</f>
        <v>Інше</v>
      </c>
      <c r="F91" s="82" t="str">
        <f ca="1">IFERROR(
  VLOOKUP(A91, '1C'!B:S, 18, 0),)</f>
        <v>-</v>
      </c>
      <c r="G91" s="83" t="str">
        <f ca="1">IFERROR(
  VLOOKUP(A91, '1C'!B:U, 19, 0),)</f>
        <v>-</v>
      </c>
      <c r="H91" s="81" t="str">
        <f ca="1">IFERROR(
  VLOOKUP(A91, '1C'!B:G, 6, 0),)</f>
        <v>-</v>
      </c>
      <c r="I91" s="90">
        <f ca="1">IFERROR( VLOOKUP(A91, '1C'!B:I, 8, 0),)</f>
        <v>0</v>
      </c>
      <c r="J91" s="91" t="str">
        <f ca="1">IFERROR(
  VLOOKUP(A91, '1C'!B:H, 7, 0),)</f>
        <v>-</v>
      </c>
      <c r="K91" s="86"/>
      <c r="L91" s="92"/>
    </row>
    <row r="92" spans="1:12" ht="14.4">
      <c r="A92" s="93" t="str">
        <f ca="1">IFERROR(__xludf.DUMMYFUNCTION("iferror(IFERROR(
HYPERLINK(
  VLOOKUP(
    INDEX(UNIQUE(FLATTEN({'1C'!$A$2:A200,'1C'!$B$2:B200})), ROW(A90)), 
    '1C'!B:O, 12, 0),
  INDEX(UNIQUE(FLATTEN({'1C'!$A$2:A200,'1C'!$B$2:B200})), ROW(A90))),
MATCH(INDEX(UNIQUE(FLATTEN({'1C'!$A$2:A200,'1C'!$B$2"&amp;":B200})), ROW(A90)), L$3:L200, 0)
),)"),"МОДУЛІ ВВОДУ-ВИВОДУ")</f>
        <v>МОДУЛІ ВВОДУ-ВИВОДУ</v>
      </c>
      <c r="B92" s="89">
        <f ca="1">IFERROR(
  VLOOKUP(A92, '1C'!B:D, 3, 0),)</f>
        <v>0</v>
      </c>
      <c r="C92" s="89"/>
      <c r="D92" s="80">
        <f ca="1">IFERROR(
  VLOOKUP(A92, '1C'!B:J, 9, 0),)</f>
        <v>0</v>
      </c>
      <c r="E92" s="81">
        <f ca="1">IFERROR(
  VLOOKUP(A92, '1C'!B:Q, 15, 0),)</f>
        <v>0</v>
      </c>
      <c r="F92" s="82">
        <f ca="1">IFERROR(
  VLOOKUP(A92, '1C'!B:S, 18, 0),)</f>
        <v>0</v>
      </c>
      <c r="G92" s="83">
        <f ca="1">IFERROR(
  VLOOKUP(A92, '1C'!B:U, 19, 0),)</f>
        <v>0</v>
      </c>
      <c r="H92" s="81">
        <f ca="1">IFERROR(
  VLOOKUP(A92, '1C'!B:G, 6, 0),)</f>
        <v>0</v>
      </c>
      <c r="I92" s="90">
        <f ca="1">IFERROR( VLOOKUP(A92, '1C'!B:I, 8, 0),)</f>
        <v>0</v>
      </c>
      <c r="J92" s="91">
        <f ca="1">IFERROR(
  VLOOKUP(A92, '1C'!B:H, 7, 0),)</f>
        <v>0</v>
      </c>
      <c r="K92" s="86"/>
      <c r="L92" s="92"/>
    </row>
    <row r="93" spans="1:12" ht="26.4">
      <c r="A93" s="88" t="str">
        <f ca="1">IFERROR(__xludf.DUMMYFUNCTION("iferror(IFERROR(
HYPERLINK(
  VLOOKUP(
    INDEX(UNIQUE(FLATTEN({'1C'!$A$2:A200,'1C'!$B$2:B200})), ROW(A91)), 
    '1C'!B:O, 12, 0),
  INDEX(UNIQUE(FLATTEN({'1C'!$A$2:A200,'1C'!$B$2:B200})), ROW(A91))),
MATCH(INDEX(UNIQUE(FLATTEN({'1C'!$A$2:A200,'1C'!$B$2"&amp;":B200})), ROW(A91)), L$3:L200, 0)
),)"),"ОВ-215")</f>
        <v>ОВ-215</v>
      </c>
      <c r="B93" s="89">
        <f ca="1">IFERROR(
  VLOOKUP(A93, '1C'!B:D, 3, 0),)</f>
        <v>1750</v>
      </c>
      <c r="C93" s="89">
        <f ca="1">IFERROR(
  VLOOKUP(A93, '1C'!B:Y, 24, 0),)</f>
        <v>1750</v>
      </c>
      <c r="D93" s="80" t="str">
        <f ca="1">IFERROR(
  VLOOKUP(A93, '1C'!B:J, 9, 0),)</f>
        <v>Модуль вводу-виводу одноканальний, 4 режими роботи, 5 типів датчиків, Modbus (вихідне виконавче реле), TTL - Modbus конвертер</v>
      </c>
      <c r="E93" s="81" t="str">
        <f ca="1">IFERROR(
  VLOOKUP(A93, '1C'!B:Q, 15, 0),)</f>
        <v>DIN</v>
      </c>
      <c r="F93" s="82">
        <f ca="1">IFERROR(
  VLOOKUP(A93, '1C'!B:S, 18, 0),)</f>
        <v>1</v>
      </c>
      <c r="G93" s="83" t="str">
        <f ca="1">IFERROR(
  VLOOKUP(A93, '1C'!B:U, 19, 0),)</f>
        <v>8А</v>
      </c>
      <c r="H93" s="81" t="str">
        <f ca="1">IFERROR(
  VLOOKUP(A93, '1C'!B:G, 6, 0),)</f>
        <v>NTOV215IO</v>
      </c>
      <c r="I93" s="90">
        <f ca="1">IFERROR( VLOOKUP(A93, '1C'!B:I, 8, 0),)</f>
        <v>0</v>
      </c>
      <c r="J93" s="91" t="str">
        <f ca="1">IFERROR(
  VLOOKUP(A93, '1C'!B:H, 7, 0),)</f>
        <v>8517 62 00 00</v>
      </c>
      <c r="K93" s="86"/>
      <c r="L93" s="92"/>
    </row>
    <row r="94" spans="1:12" ht="26.4">
      <c r="A94" s="88" t="str">
        <f ca="1">IFERROR(__xludf.DUMMYFUNCTION("iferror(IFERROR(
HYPERLINK(
  VLOOKUP(
    INDEX(UNIQUE(FLATTEN({'1C'!$A$2:A200,'1C'!$B$2:B200})), ROW(A92)), 
    '1C'!B:O, 12, 0),
  INDEX(UNIQUE(FLATTEN({'1C'!$A$2:A200,'1C'!$B$2:B200})), ROW(A92))),
MATCH(INDEX(UNIQUE(FLATTEN({'1C'!$A$2:A200,'1C'!$B$2"&amp;":B200})), ROW(A92)), L$3:L200, 0)
),)"),"ОВ-216")</f>
        <v>ОВ-216</v>
      </c>
      <c r="B94" s="89">
        <f ca="1">IFERROR(
  VLOOKUP(A94, '1C'!B:D, 3, 0),)</f>
        <v>3330</v>
      </c>
      <c r="C94" s="89">
        <f ca="1">IFERROR(
  VLOOKUP(A94, '1C'!B:Y, 24, 0),)</f>
        <v>3330</v>
      </c>
      <c r="D94" s="80" t="str">
        <f ca="1">IFERROR(
  VLOOKUP(A94, '1C'!B:J, 9, 0),)</f>
        <v>Модуль вводу-виводу одноканальний4 режими роботи, 5 типів датчиків, Modbus (вихідний сигнал 0-10, 4-20 мА), TTL - Modbus конвертер</v>
      </c>
      <c r="E94" s="81" t="str">
        <f ca="1">IFERROR(
  VLOOKUP(A94, '1C'!B:Q, 15, 0),)</f>
        <v>DIN</v>
      </c>
      <c r="F94" s="82">
        <f ca="1">IFERROR(
  VLOOKUP(A94, '1C'!B:S, 18, 0),)</f>
        <v>1</v>
      </c>
      <c r="G94" s="83" t="str">
        <f ca="1">IFERROR(
  VLOOKUP(A94, '1C'!B:U, 19, 0),)</f>
        <v>-</v>
      </c>
      <c r="H94" s="81" t="str">
        <f ca="1">IFERROR(
  VLOOKUP(A94, '1C'!B:G, 6, 0),)</f>
        <v>NTOV216IO</v>
      </c>
      <c r="I94" s="90">
        <f ca="1">IFERROR( VLOOKUP(A94, '1C'!B:I, 8, 0),)</f>
        <v>0</v>
      </c>
      <c r="J94" s="91" t="str">
        <f ca="1">IFERROR(
  VLOOKUP(A94, '1C'!B:H, 7, 0),)</f>
        <v>8517 62 00 00</v>
      </c>
      <c r="K94" s="86"/>
      <c r="L94" s="92"/>
    </row>
    <row r="95" spans="1:12" ht="14.4">
      <c r="A95" s="93" t="str">
        <f ca="1">IFERROR(__xludf.DUMMYFUNCTION("iferror(IFERROR(
HYPERLINK(
  VLOOKUP(
    INDEX(UNIQUE(FLATTEN({'1C'!$A$2:A200,'1C'!$B$2:B200})), ROW(A93)), 
    '1C'!B:O, 12, 0),
  INDEX(UNIQUE(FLATTEN({'1C'!$A$2:A200,'1C'!$B$2:B200})), ROW(A93))),
MATCH(INDEX(UNIQUE(FLATTEN({'1C'!$A$2:A200,'1C'!$B$2"&amp;":B200})), ROW(A93)), L$3:L200, 0)
),)"),"MODBUS-КОНТРОЛЕРИ WEB-ДОСТУПУ")</f>
        <v>MODBUS-КОНТРОЛЕРИ WEB-ДОСТУПУ</v>
      </c>
      <c r="B95" s="89">
        <f ca="1">IFERROR(
  VLOOKUP(A95, '1C'!B:D, 3, 0),)</f>
        <v>0</v>
      </c>
      <c r="C95" s="89"/>
      <c r="D95" s="80">
        <f ca="1">IFERROR(
  VLOOKUP(A95, '1C'!B:J, 9, 0),)</f>
        <v>0</v>
      </c>
      <c r="E95" s="81">
        <f ca="1">IFERROR(
  VLOOKUP(A95, '1C'!B:Q, 15, 0),)</f>
        <v>0</v>
      </c>
      <c r="F95" s="82">
        <f ca="1">IFERROR(
  VLOOKUP(A95, '1C'!B:S, 18, 0),)</f>
        <v>0</v>
      </c>
      <c r="G95" s="83">
        <f ca="1">IFERROR(
  VLOOKUP(A95, '1C'!B:U, 19, 0),)</f>
        <v>0</v>
      </c>
      <c r="H95" s="81">
        <f ca="1">IFERROR(
  VLOOKUP(A95, '1C'!B:G, 6, 0),)</f>
        <v>0</v>
      </c>
      <c r="I95" s="90">
        <f ca="1">IFERROR( VLOOKUP(A95, '1C'!B:I, 8, 0),)</f>
        <v>0</v>
      </c>
      <c r="J95" s="91">
        <f ca="1">IFERROR(
  VLOOKUP(A95, '1C'!B:H, 7, 0),)</f>
        <v>0</v>
      </c>
      <c r="K95" s="86"/>
      <c r="L95" s="92"/>
    </row>
    <row r="96" spans="1:12" ht="14.4">
      <c r="A96" s="88" t="str">
        <f ca="1">IFERROR(__xludf.DUMMYFUNCTION("iferror(IFERROR(
HYPERLINK(
  VLOOKUP(
    INDEX(UNIQUE(FLATTEN({'1C'!$A$2:A200,'1C'!$B$2:B200})), ROW(A94)), 
    '1C'!B:O, 12, 0),
  INDEX(UNIQUE(FLATTEN({'1C'!$A$2:A200,'1C'!$B$2:B200})), ROW(A94))),
MATCH(INDEX(UNIQUE(FLATTEN({'1C'!$A$2:A200,'1C'!$B$2"&amp;":B200})), ROW(A94)), L$3:L200, 0)
),)"),"ЕМ-481")</f>
        <v>ЕМ-481</v>
      </c>
      <c r="B96" s="89">
        <f ca="1">IFERROR(
  VLOOKUP(A96, '1C'!B:D, 3, 0),)</f>
        <v>11610</v>
      </c>
      <c r="C96" s="89">
        <f ca="1">IFERROR(
  VLOOKUP(A96, '1C'!B:Y, 24, 0),)</f>
        <v>11610</v>
      </c>
      <c r="D96" s="80" t="str">
        <f ca="1">IFERROR(
  VLOOKUP(A96, '1C'!B:J, 9, 0),)</f>
        <v>3G GSM модуль, вхід Ethernеt (з безкоштовним хмарним сервісом моніторингу)</v>
      </c>
      <c r="E96" s="81" t="str">
        <f ca="1">IFERROR(
  VLOOKUP(A96, '1C'!B:Q, 15, 0),)</f>
        <v>DIN</v>
      </c>
      <c r="F96" s="82">
        <f ca="1">IFERROR(
  VLOOKUP(A96, '1C'!B:S, 18, 0),)</f>
        <v>2</v>
      </c>
      <c r="G96" s="83" t="str">
        <f ca="1">IFERROR(
  VLOOKUP(A96, '1C'!B:U, 19, 0),)</f>
        <v>-</v>
      </c>
      <c r="H96" s="81" t="str">
        <f ca="1">IFERROR(
  VLOOKUP(A96, '1C'!B:G, 6, 0),)</f>
        <v>NTEM48100</v>
      </c>
      <c r="I96" s="90">
        <f ca="1">IFERROR( VLOOKUP(A96, '1C'!B:I, 8, 0),)</f>
        <v>0</v>
      </c>
      <c r="J96" s="91" t="str">
        <f ca="1">IFERROR(
  VLOOKUP(A96, '1C'!B:H, 7, 0),)</f>
        <v>8517 62 00 00</v>
      </c>
      <c r="K96" s="86"/>
      <c r="L96" s="92"/>
    </row>
    <row r="97" spans="1:12" ht="26.4">
      <c r="A97" s="88" t="str">
        <f ca="1">IFERROR(__xludf.DUMMYFUNCTION("iferror(IFERROR(
HYPERLINK(
  VLOOKUP(
    INDEX(UNIQUE(FLATTEN({'1C'!$A$2:A200,'1C'!$B$2:B200})), ROW(A95)), 
    '1C'!B:O, 12, 0),
  INDEX(UNIQUE(FLATTEN({'1C'!$A$2:A200,'1C'!$B$2:B200})), ROW(A95))),
MATCH(INDEX(UNIQUE(FLATTEN({'1C'!$A$2:A200,'1C'!$B$2"&amp;":B200})), ROW(A95)), L$3:L200, 0)
),)"),"ЕМ-486")</f>
        <v>ЕМ-486</v>
      </c>
      <c r="B97" s="89">
        <f ca="1">IFERROR(
  VLOOKUP(A97, '1C'!B:D, 3, 0),)</f>
        <v>13660</v>
      </c>
      <c r="C97" s="89">
        <f ca="1">IFERROR(
  VLOOKUP(A97, '1C'!B:Y, 24, 0),)</f>
        <v>13660</v>
      </c>
      <c r="D97" s="80" t="str">
        <f ca="1">IFERROR(
  VLOOKUP(A97, '1C'!B:J, 9, 0),)</f>
        <v>2G GSM модуль, вхід Ethernеt, 4 входу, 3 реле (з безкоштовним хмарним сервісом моніторингу)</v>
      </c>
      <c r="E97" s="81" t="str">
        <f ca="1">IFERROR(
  VLOOKUP(A97, '1C'!B:Q, 15, 0),)</f>
        <v>DIN</v>
      </c>
      <c r="F97" s="82">
        <f ca="1">IFERROR(
  VLOOKUP(A97, '1C'!B:S, 18, 0),)</f>
        <v>9</v>
      </c>
      <c r="G97" s="83" t="str">
        <f ca="1">IFERROR(
  VLOOKUP(A97, '1C'!B:U, 19, 0),)</f>
        <v>-</v>
      </c>
      <c r="H97" s="81" t="str">
        <f ca="1">IFERROR(
  VLOOKUP(A97, '1C'!B:G, 6, 0),)</f>
        <v>NTEM48600</v>
      </c>
      <c r="I97" s="90" t="str">
        <f ca="1">IFERROR( VLOOKUP(A97, '1C'!B:I, 8, 0),)</f>
        <v>-</v>
      </c>
      <c r="J97" s="91" t="str">
        <f ca="1">IFERROR(
  VLOOKUP(A97, '1C'!B:H, 7, 0),)</f>
        <v>8517 62 00 00</v>
      </c>
      <c r="K97" s="86"/>
      <c r="L97" s="92"/>
    </row>
    <row r="98" spans="1:12" ht="26.4">
      <c r="A98" s="88" t="str">
        <f ca="1">IFERROR(__xludf.DUMMYFUNCTION("iferror(IFERROR(
HYPERLINK(
  VLOOKUP(
    INDEX(UNIQUE(FLATTEN({'1C'!$A$2:A200,'1C'!$B$2:B200})), ROW(A96)), 
    '1C'!B:O, 12, 0),
  INDEX(UNIQUE(FLATTEN({'1C'!$A$2:A200,'1C'!$B$2:B200})), ROW(A96))),
MATCH(INDEX(UNIQUE(FLATTEN({'1C'!$A$2:A200,'1C'!$B$2"&amp;":B200})), ROW(A96)), L$3:L200, 0)
),)"),"ЕМ-482")</f>
        <v>ЕМ-482</v>
      </c>
      <c r="B98" s="89">
        <f ca="1">IFERROR(
  VLOOKUP(A98, '1C'!B:D, 3, 0),)</f>
        <v>4205</v>
      </c>
      <c r="C98" s="89">
        <f ca="1">IFERROR(
  VLOOKUP(A98, '1C'!B:Y, 24, 0),)</f>
        <v>4205</v>
      </c>
      <c r="D98" s="80" t="str">
        <f ca="1">IFERROR(
  VLOOKUP(A98, '1C'!B:J, 9, 0),)</f>
        <v>Wi-Fi - RS-485 (з безкоштовним хмарним сервісом моніторингу, та з виносною антеною)</v>
      </c>
      <c r="E98" s="81" t="str">
        <f ca="1">IFERROR(
  VLOOKUP(A98, '1C'!B:Q, 15, 0),)</f>
        <v>DIN</v>
      </c>
      <c r="F98" s="82">
        <f ca="1">IFERROR(
  VLOOKUP(A98, '1C'!B:S, 18, 0),)</f>
        <v>1</v>
      </c>
      <c r="G98" s="83" t="str">
        <f ca="1">IFERROR(
  VLOOKUP(A98, '1C'!B:U, 19, 0),)</f>
        <v>-</v>
      </c>
      <c r="H98" s="81" t="str">
        <f ca="1">IFERROR(
  VLOOKUP(A98, '1C'!B:G, 6, 0),)</f>
        <v>NTEM48200</v>
      </c>
      <c r="I98" s="90">
        <f ca="1">IFERROR( VLOOKUP(A98, '1C'!B:I, 8, 0),)</f>
        <v>0</v>
      </c>
      <c r="J98" s="91" t="str">
        <f ca="1">IFERROR(
  VLOOKUP(A98, '1C'!B:H, 7, 0),)</f>
        <v>8517 62 00 00</v>
      </c>
      <c r="K98" s="86"/>
      <c r="L98" s="92"/>
    </row>
    <row r="99" spans="1:12" ht="26.4">
      <c r="A99" s="88" t="str">
        <f ca="1">IFERROR(__xludf.DUMMYFUNCTION("iferror(IFERROR(
HYPERLINK(
  VLOOKUP(
    INDEX(UNIQUE(FLATTEN({'1C'!$A$2:A200,'1C'!$B$2:B200})), ROW(A97)), 
    '1C'!B:O, 12, 0),
  INDEX(UNIQUE(FLATTEN({'1C'!$A$2:A200,'1C'!$B$2:B200})), ROW(A97))),
MATCH(INDEX(UNIQUE(FLATTEN({'1C'!$A$2:A200,'1C'!$B$2"&amp;":B200})), ROW(A97)), L$3:L200, 0)
),)"),"ЕМ-482-1")</f>
        <v>ЕМ-482-1</v>
      </c>
      <c r="B99" s="89">
        <f ca="1">IFERROR(
  VLOOKUP(A99, '1C'!B:D, 3, 0),)</f>
        <v>4205</v>
      </c>
      <c r="C99" s="89">
        <f ca="1">IFERROR(
  VLOOKUP(A99, '1C'!B:Y, 24, 0),)</f>
        <v>4205</v>
      </c>
      <c r="D99" s="80" t="str">
        <f ca="1">IFERROR(
  VLOOKUP(A99, '1C'!B:J, 9, 0),)</f>
        <v>Wi-Fi - RS-485 (з безкоштовним хмарним сервісом моніторингу, та з виносною антеною)</v>
      </c>
      <c r="E99" s="81" t="str">
        <f ca="1">IFERROR(
  VLOOKUP(A99, '1C'!B:Q, 15, 0),)</f>
        <v>DIN</v>
      </c>
      <c r="F99" s="82">
        <f ca="1">IFERROR(
  VLOOKUP(A99, '1C'!B:S, 18, 0),)</f>
        <v>1</v>
      </c>
      <c r="G99" s="83" t="str">
        <f ca="1">IFERROR(
  VLOOKUP(A99, '1C'!B:U, 19, 0),)</f>
        <v>-</v>
      </c>
      <c r="H99" s="81" t="str">
        <f ca="1">IFERROR(
  VLOOKUP(A99, '1C'!B:G, 6, 0),)</f>
        <v>NTEM48201</v>
      </c>
      <c r="I99" s="90">
        <f ca="1">IFERROR( VLOOKUP(A99, '1C'!B:I, 8, 0),)</f>
        <v>0</v>
      </c>
      <c r="J99" s="91" t="str">
        <f ca="1">IFERROR(
  VLOOKUP(A99, '1C'!B:H, 7, 0),)</f>
        <v>8517 62 00 00</v>
      </c>
      <c r="K99" s="86"/>
      <c r="L99" s="92"/>
    </row>
    <row r="100" spans="1:12" ht="14.4">
      <c r="A100" s="88" t="str">
        <f ca="1">IFERROR(__xludf.DUMMYFUNCTION("iferror(IFERROR(
HYPERLINK(
  VLOOKUP(
    INDEX(UNIQUE(FLATTEN({'1C'!$A$2:A200,'1C'!$B$2:B200})), ROW(A98)), 
    '1C'!B:O, 12, 0),
  INDEX(UNIQUE(FLATTEN({'1C'!$A$2:A200,'1C'!$B$2:B200})), ROW(A98))),
MATCH(INDEX(UNIQUE(FLATTEN({'1C'!$A$2:A200,'1C'!$B$2"&amp;":B200})), ROW(A98)), L$3:L200, 0)
),)"),"ЕМ-483")</f>
        <v>ЕМ-483</v>
      </c>
      <c r="B100" s="89">
        <f ca="1">IFERROR(
  VLOOKUP(A100, '1C'!B:D, 3, 0),)</f>
        <v>6900</v>
      </c>
      <c r="C100" s="89">
        <f ca="1">IFERROR(
  VLOOKUP(A100, '1C'!B:Y, 24, 0),)</f>
        <v>6900</v>
      </c>
      <c r="D100" s="80" t="str">
        <f ca="1">IFERROR(
  VLOOKUP(A100, '1C'!B:J, 9, 0),)</f>
        <v>Перетворювач інтерфейсів Modbus RTU / ASCII (RS-485) - Modbus TCP (Ethernet)</v>
      </c>
      <c r="E100" s="81" t="str">
        <f ca="1">IFERROR(
  VLOOKUP(A100, '1C'!B:Q, 15, 0),)</f>
        <v>DIN</v>
      </c>
      <c r="F100" s="82">
        <f ca="1">IFERROR(
  VLOOKUP(A100, '1C'!B:S, 18, 0),)</f>
        <v>1</v>
      </c>
      <c r="G100" s="83" t="str">
        <f ca="1">IFERROR(
  VLOOKUP(A100, '1C'!B:U, 19, 0),)</f>
        <v>-</v>
      </c>
      <c r="H100" s="81" t="str">
        <f ca="1">IFERROR(
  VLOOKUP(A100, '1C'!B:G, 6, 0),)</f>
        <v>NTEM48300</v>
      </c>
      <c r="I100" s="90">
        <f ca="1">IFERROR( VLOOKUP(A100, '1C'!B:I, 8, 0),)</f>
        <v>0</v>
      </c>
      <c r="J100" s="91" t="str">
        <f ca="1">IFERROR(
  VLOOKUP(A100, '1C'!B:H, 7, 0),)</f>
        <v>8517 62 00 00</v>
      </c>
      <c r="K100" s="86"/>
      <c r="L100" s="92"/>
    </row>
    <row r="101" spans="1:12" ht="14.4">
      <c r="A101" s="88" t="str">
        <f ca="1">IFERROR(__xludf.DUMMYFUNCTION("iferror(IFERROR(
HYPERLINK(
  VLOOKUP(
    INDEX(UNIQUE(FLATTEN({'1C'!$A$2:A200,'1C'!$B$2:B200})), ROW(A99)), 
    '1C'!B:O, 12, 0),
  INDEX(UNIQUE(FLATTEN({'1C'!$A$2:A200,'1C'!$B$2:B200})), ROW(A99))),
MATCH(INDEX(UNIQUE(FLATTEN({'1C'!$A$2:A200,'1C'!$B$2"&amp;":B200})), ROW(A99)), L$3:L200, 0)
),)"),"ET-485")</f>
        <v>ET-485</v>
      </c>
      <c r="B101" s="89">
        <f ca="1">IFERROR(
  VLOOKUP(A101, '1C'!B:D, 3, 0),)</f>
        <v>7505</v>
      </c>
      <c r="C101" s="89">
        <f ca="1">IFERROR(
  VLOOKUP(A101, '1C'!B:Y, 24, 0),)</f>
        <v>7505</v>
      </c>
      <c r="D101" s="80" t="str">
        <f ca="1">IFERROR(
  VLOOKUP(A101, '1C'!B:J, 9, 0),)</f>
        <v>Перетворювач інтерфейсів Modbus RTU / ASCII (RS-485) - Modbus TCP (Ethernet)</v>
      </c>
      <c r="E101" s="81" t="str">
        <f ca="1">IFERROR(
  VLOOKUP(A101, '1C'!B:Q, 15, 0),)</f>
        <v>DIN</v>
      </c>
      <c r="F101" s="82">
        <f ca="1">IFERROR(
  VLOOKUP(A101, '1C'!B:S, 18, 0),)</f>
        <v>3</v>
      </c>
      <c r="G101" s="83" t="str">
        <f ca="1">IFERROR(
  VLOOKUP(A101, '1C'!B:U, 19, 0),)</f>
        <v>-</v>
      </c>
      <c r="H101" s="81" t="str">
        <f ca="1">IFERROR(
  VLOOKUP(A101, '1C'!B:G, 6, 0),)</f>
        <v>NTET4850A</v>
      </c>
      <c r="I101" s="90">
        <f ca="1">IFERROR( VLOOKUP(A101, '1C'!B:I, 8, 0),)</f>
        <v>0</v>
      </c>
      <c r="J101" s="91" t="str">
        <f ca="1">IFERROR(
  VLOOKUP(A101, '1C'!B:H, 7, 0),)</f>
        <v>8517 62 00 00</v>
      </c>
      <c r="K101" s="86"/>
      <c r="L101" s="92"/>
    </row>
    <row r="102" spans="1:12" ht="14.4">
      <c r="A102" s="88" t="str">
        <f ca="1">IFERROR(__xludf.DUMMYFUNCTION("iferror(IFERROR(
HYPERLINK(
  VLOOKUP(
    INDEX(UNIQUE(FLATTEN({'1C'!$A$2:A200,'1C'!$B$2:B200})), ROW(A100)), 
    '1C'!B:O, 12, 0),
  INDEX(UNIQUE(FLATTEN({'1C'!$A$2:A200,'1C'!$B$2:B200})), ROW(A100))),
MATCH(INDEX(UNIQUE(FLATTEN({'1C'!$A$2:A200,'1C'!$B"&amp;"$2:B200})), ROW(A100)), L$3:L200, 0)
),)"),"ET-485 24V")</f>
        <v>ET-485 24V</v>
      </c>
      <c r="B102" s="89">
        <f ca="1">IFERROR(
  VLOOKUP(A102, '1C'!B:D, 3, 0),)</f>
        <v>7695</v>
      </c>
      <c r="C102" s="89">
        <f ca="1">IFERROR(
  VLOOKUP(A102, '1C'!B:Y, 24, 0),)</f>
        <v>7695</v>
      </c>
      <c r="D102" s="80" t="str">
        <f ca="1">IFERROR(
  VLOOKUP(A102, '1C'!B:J, 9, 0),)</f>
        <v>Перетворювач інтерфейсів Modbus RTU / ASCII (RS-485) - Modbus TCP (Ethernet)</v>
      </c>
      <c r="E102" s="81" t="str">
        <f ca="1">IFERROR(
  VLOOKUP(A102, '1C'!B:Q, 15, 0),)</f>
        <v>DIN</v>
      </c>
      <c r="F102" s="82">
        <f ca="1">IFERROR(
  VLOOKUP(A102, '1C'!B:S, 18, 0),)</f>
        <v>3</v>
      </c>
      <c r="G102" s="83" t="str">
        <f ca="1">IFERROR(
  VLOOKUP(A102, '1C'!B:U, 19, 0),)</f>
        <v>-</v>
      </c>
      <c r="H102" s="81" t="str">
        <f ca="1">IFERROR(
  VLOOKUP(A102, '1C'!B:G, 6, 0),)</f>
        <v>NTET4850D</v>
      </c>
      <c r="I102" s="90">
        <f ca="1">IFERROR( VLOOKUP(A102, '1C'!B:I, 8, 0),)</f>
        <v>0</v>
      </c>
      <c r="J102" s="91" t="str">
        <f ca="1">IFERROR(
  VLOOKUP(A102, '1C'!B:H, 7, 0),)</f>
        <v>8517 62 00 00</v>
      </c>
      <c r="K102" s="86"/>
      <c r="L102" s="92"/>
    </row>
    <row r="103" spans="1:12" ht="14.4">
      <c r="A103" s="88" t="str">
        <f ca="1">IFERROR(__xludf.DUMMYFUNCTION("iferror(IFERROR(
HYPERLINK(
  VLOOKUP(
    INDEX(UNIQUE(FLATTEN({'1C'!$A$2:A200,'1C'!$B$2:B200})), ROW(A101)), 
    '1C'!B:O, 12, 0),
  INDEX(UNIQUE(FLATTEN({'1C'!$A$2:A200,'1C'!$B$2:B200})), ROW(A101))),
MATCH(INDEX(UNIQUE(FLATTEN({'1C'!$A$2:A200,'1C'!$B"&amp;"$2:B200})), ROW(A101)), L$3:L200, 0)
),)"),"OPCB-221")</f>
        <v>OPCB-221</v>
      </c>
      <c r="B103" s="89">
        <f ca="1">IFERROR(
  VLOOKUP(A103, '1C'!B:D, 3, 0),)</f>
        <v>23200</v>
      </c>
      <c r="C103" s="89">
        <f ca="1">IFERROR(
  VLOOKUP(A103, '1C'!B:Y, 24, 0),)</f>
        <v>23200</v>
      </c>
      <c r="D103" s="80" t="str">
        <f ca="1">IFERROR(
  VLOOKUP(A103, '1C'!B:J, 9, 0),)</f>
        <v>Перетворювач MODBUS RTU/TCP.</v>
      </c>
      <c r="E103" s="81" t="str">
        <f ca="1">IFERROR(
  VLOOKUP(A103, '1C'!B:Q, 15, 0),)</f>
        <v>Інше</v>
      </c>
      <c r="F103" s="82" t="str">
        <f ca="1">IFERROR(
  VLOOKUP(A103, '1C'!B:S, 18, 0),)</f>
        <v>-</v>
      </c>
      <c r="G103" s="83" t="str">
        <f ca="1">IFERROR(
  VLOOKUP(A103, '1C'!B:U, 19, 0),)</f>
        <v>-</v>
      </c>
      <c r="H103" s="81" t="str">
        <f ca="1">IFERROR(
  VLOOKUP(A103, '1C'!B:G, 6, 0),)</f>
        <v>-</v>
      </c>
      <c r="I103" s="90">
        <f ca="1">IFERROR( VLOOKUP(A103, '1C'!B:I, 8, 0),)</f>
        <v>0</v>
      </c>
      <c r="J103" s="91" t="str">
        <f ca="1">IFERROR(
  VLOOKUP(A103, '1C'!B:H, 7, 0),)</f>
        <v>8517 62 00 00</v>
      </c>
      <c r="K103" s="86"/>
      <c r="L103" s="92"/>
    </row>
    <row r="104" spans="1:12" ht="14.4">
      <c r="A104" s="93" t="str">
        <f ca="1">IFERROR(__xludf.DUMMYFUNCTION("iferror(IFERROR(
HYPERLINK(
  VLOOKUP(
    INDEX(UNIQUE(FLATTEN({'1C'!$A$2:A200,'1C'!$B$2:B200})), ROW(A102)), 
    '1C'!B:O, 12, 0),
  INDEX(UNIQUE(FLATTEN({'1C'!$A$2:A200,'1C'!$B$2:B200})), ROW(A102))),
MATCH(INDEX(UNIQUE(FLATTEN({'1C'!$A$2:A200,'1C'!$B"&amp;"$2:B200})), ROW(A102)), L$3:L200, 0)
),)"),"БЛОК АВТОМАТИЧНОГО ВВОДУ РЕЗЕРВУ")</f>
        <v>БЛОК АВТОМАТИЧНОГО ВВОДУ РЕЗЕРВУ</v>
      </c>
      <c r="B104" s="89">
        <f ca="1">IFERROR(
  VLOOKUP(A104, '1C'!B:D, 3, 0),)</f>
        <v>0</v>
      </c>
      <c r="C104" s="89"/>
      <c r="D104" s="80">
        <f ca="1">IFERROR(
  VLOOKUP(A104, '1C'!B:J, 9, 0),)</f>
        <v>0</v>
      </c>
      <c r="E104" s="81">
        <f ca="1">IFERROR(
  VLOOKUP(A104, '1C'!B:Q, 15, 0),)</f>
        <v>0</v>
      </c>
      <c r="F104" s="82">
        <f ca="1">IFERROR(
  VLOOKUP(A104, '1C'!B:S, 18, 0),)</f>
        <v>0</v>
      </c>
      <c r="G104" s="83">
        <f ca="1">IFERROR(
  VLOOKUP(A104, '1C'!B:U, 19, 0),)</f>
        <v>0</v>
      </c>
      <c r="H104" s="81">
        <f ca="1">IFERROR(
  VLOOKUP(A104, '1C'!B:G, 6, 0),)</f>
        <v>0</v>
      </c>
      <c r="I104" s="90">
        <f ca="1">IFERROR( VLOOKUP(A104, '1C'!B:I, 8, 0),)</f>
        <v>0</v>
      </c>
      <c r="J104" s="91">
        <f ca="1">IFERROR(
  VLOOKUP(A104, '1C'!B:H, 7, 0),)</f>
        <v>0</v>
      </c>
      <c r="K104" s="86"/>
      <c r="L104" s="92"/>
    </row>
    <row r="105" spans="1:12" ht="26.4">
      <c r="A105" s="88" t="str">
        <f ca="1">IFERROR(__xludf.DUMMYFUNCTION("iferror(IFERROR(
HYPERLINK(
  VLOOKUP(
    INDEX(UNIQUE(FLATTEN({'1C'!$A$2:A200,'1C'!$B$2:B200})), ROW(A103)), 
    '1C'!B:O, 12, 0),
  INDEX(UNIQUE(FLATTEN({'1C'!$A$2:A200,'1C'!$B$2:B200})), ROW(A103))),
MATCH(INDEX(UNIQUE(FLATTEN({'1C'!$A$2:A200,'1C'!$B"&amp;"$2:B200})), ROW(A103)), L$3:L200, 0)
),)"),"ПЕФ-321АВР")</f>
        <v>ПЕФ-321АВР</v>
      </c>
      <c r="B105" s="89">
        <f ca="1">IFERROR(
  VLOOKUP(A105, '1C'!B:D, 3, 0),)</f>
        <v>7410</v>
      </c>
      <c r="C105" s="89">
        <f ca="1">IFERROR(
  VLOOKUP(A105, '1C'!B:Y, 24, 0),)</f>
        <v>7410</v>
      </c>
      <c r="D105" s="80" t="str">
        <f ca="1">IFERROR(
  VLOOKUP(A105, '1C'!B:J, 9, 0),)</f>
        <v>Трифазний блок АВР (2 трифазних вводи, або 1 трифазний вводи і генератор), Modbus, індикація напруги на вводах. Віддалений запуск генератора, прогрів</v>
      </c>
      <c r="E105" s="81" t="str">
        <f ca="1">IFERROR(
  VLOOKUP(A105, '1C'!B:Q, 15, 0),)</f>
        <v>DIN</v>
      </c>
      <c r="F105" s="82">
        <f ca="1">IFERROR(
  VLOOKUP(A105, '1C'!B:S, 18, 0),)</f>
        <v>9</v>
      </c>
      <c r="G105" s="83" t="str">
        <f ca="1">IFERROR(
  VLOOKUP(A105, '1C'!B:U, 19, 0),)</f>
        <v>5А, Пускач</v>
      </c>
      <c r="H105" s="81" t="str">
        <f ca="1">IFERROR(
  VLOOKUP(A105, '1C'!B:G, 6, 0),)</f>
        <v>NTPEF321R</v>
      </c>
      <c r="I105" s="90">
        <f ca="1">IFERROR( VLOOKUP(A105, '1C'!B:I, 8, 0),)</f>
        <v>0</v>
      </c>
      <c r="J105" s="91" t="str">
        <f ca="1">IFERROR(
  VLOOKUP(A105, '1C'!B:H, 7, 0),)</f>
        <v>8536 49 00 90</v>
      </c>
      <c r="K105" s="86"/>
      <c r="L105" s="92"/>
    </row>
    <row r="106" spans="1:12" ht="14.4">
      <c r="A106" s="93" t="str">
        <f ca="1">IFERROR(__xludf.DUMMYFUNCTION("iferror(IFERROR(
HYPERLINK(
  VLOOKUP(
    INDEX(UNIQUE(FLATTEN({'1C'!$A$2:A200,'1C'!$B$2:B200})), ROW(A104)), 
    '1C'!B:O, 12, 0),
  INDEX(UNIQUE(FLATTEN({'1C'!$A$2:A200,'1C'!$B$2:B200})), ROW(A104))),
MATCH(INDEX(UNIQUE(FLATTEN({'1C'!$A$2:A200,'1C'!$B"&amp;"$2:B200})), ROW(A104)), L$3:L200, 0)
),)"),"РОЗ'ЄМНІ ТРАНСФОРМАТОРИ СТРУМУ")</f>
        <v>РОЗ'ЄМНІ ТРАНСФОРМАТОРИ СТРУМУ</v>
      </c>
      <c r="B106" s="89">
        <f ca="1">IFERROR(
  VLOOKUP(A106, '1C'!B:D, 3, 0),)</f>
        <v>0</v>
      </c>
      <c r="C106" s="89"/>
      <c r="D106" s="80">
        <f ca="1">IFERROR(
  VLOOKUP(A106, '1C'!B:J, 9, 0),)</f>
        <v>0</v>
      </c>
      <c r="E106" s="81">
        <f ca="1">IFERROR(
  VLOOKUP(A106, '1C'!B:Q, 15, 0),)</f>
        <v>0</v>
      </c>
      <c r="F106" s="82">
        <f ca="1">IFERROR(
  VLOOKUP(A106, '1C'!B:S, 18, 0),)</f>
        <v>0</v>
      </c>
      <c r="G106" s="83">
        <f ca="1">IFERROR(
  VLOOKUP(A106, '1C'!B:U, 19, 0),)</f>
        <v>0</v>
      </c>
      <c r="H106" s="81">
        <f ca="1">IFERROR(
  VLOOKUP(A106, '1C'!B:G, 6, 0),)</f>
        <v>0</v>
      </c>
      <c r="I106" s="90">
        <f ca="1">IFERROR( VLOOKUP(A106, '1C'!B:I, 8, 0),)</f>
        <v>0</v>
      </c>
      <c r="J106" s="91">
        <f ca="1">IFERROR(
  VLOOKUP(A106, '1C'!B:H, 7, 0),)</f>
        <v>0</v>
      </c>
      <c r="K106" s="86"/>
      <c r="L106" s="92"/>
    </row>
    <row r="107" spans="1:12" ht="14.4">
      <c r="A107" s="88" t="str">
        <f ca="1">IFERROR(__xludf.DUMMYFUNCTION("iferror(IFERROR(
HYPERLINK(
  VLOOKUP(
    INDEX(UNIQUE(FLATTEN({'1C'!$A$2:A200,'1C'!$B$2:B200})), ROW(A105)), 
    '1C'!B:O, 12, 0),
  INDEX(UNIQUE(FLATTEN({'1C'!$A$2:A200,'1C'!$B$2:B200})), ROW(A105))),
MATCH(INDEX(UNIQUE(FLATTEN({'1C'!$A$2:A200,'1C'!$B"&amp;"$2:B200})), ROW(A105)), L$3:L200, 0)
),)"),"SCT-T24 100/5")</f>
        <v>SCT-T24 100/5</v>
      </c>
      <c r="B107" s="89">
        <f ca="1">IFERROR(
  VLOOKUP(A107, '1C'!B:D, 3, 0),)</f>
        <v>1490</v>
      </c>
      <c r="C107" s="89">
        <f ca="1">IFERROR(
  VLOOKUP(A107, '1C'!B:Y, 24, 0),)</f>
        <v>1490</v>
      </c>
      <c r="D107" s="80" t="str">
        <f ca="1">IFERROR(
  VLOOKUP(A107, '1C'!B:J, 9, 0),)</f>
        <v>Трансформатор струму роз'ємний, 100/5</v>
      </c>
      <c r="E107" s="81" t="str">
        <f ca="1">IFERROR(
  VLOOKUP(A107, '1C'!B:Q, 15, 0),)</f>
        <v>Інше</v>
      </c>
      <c r="F107" s="82" t="str">
        <f ca="1">IFERROR(
  VLOOKUP(A107, '1C'!B:S, 18, 0),)</f>
        <v>-</v>
      </c>
      <c r="G107" s="83" t="str">
        <f ca="1">IFERROR(
  VLOOKUP(A107, '1C'!B:U, 19, 0),)</f>
        <v>-</v>
      </c>
      <c r="H107" s="81" t="str">
        <f ca="1">IFERROR(
  VLOOKUP(A107, '1C'!B:G, 6, 0),)</f>
        <v>NTTT100X5</v>
      </c>
      <c r="I107" s="90">
        <f ca="1">IFERROR( VLOOKUP(A107, '1C'!B:I, 8, 0),)</f>
        <v>0</v>
      </c>
      <c r="J107" s="91" t="str">
        <f ca="1">IFERROR(
  VLOOKUP(A107, '1C'!B:H, 7, 0),)</f>
        <v>8504 33 00 90</v>
      </c>
      <c r="K107" s="86"/>
      <c r="L107" s="92"/>
    </row>
    <row r="108" spans="1:12" ht="14.4">
      <c r="A108" s="88" t="str">
        <f ca="1">IFERROR(__xludf.DUMMYFUNCTION("iferror(IFERROR(
HYPERLINK(
  VLOOKUP(
    INDEX(UNIQUE(FLATTEN({'1C'!$A$2:A200,'1C'!$B$2:B200})), ROW(A106)), 
    '1C'!B:O, 12, 0),
  INDEX(UNIQUE(FLATTEN({'1C'!$A$2:A200,'1C'!$B$2:B200})), ROW(A106))),
MATCH(INDEX(UNIQUE(FLATTEN({'1C'!$A$2:A200,'1C'!$B"&amp;"$2:B200})), ROW(A106)), L$3:L200, 0)
),)"),"SCT-T24 200/5")</f>
        <v>SCT-T24 200/5</v>
      </c>
      <c r="B108" s="89">
        <f ca="1">IFERROR(
  VLOOKUP(A108, '1C'!B:D, 3, 0),)</f>
        <v>1730</v>
      </c>
      <c r="C108" s="89">
        <f ca="1">IFERROR(
  VLOOKUP(A108, '1C'!B:Y, 24, 0),)</f>
        <v>1730</v>
      </c>
      <c r="D108" s="80" t="str">
        <f ca="1">IFERROR(
  VLOOKUP(A108, '1C'!B:J, 9, 0),)</f>
        <v>Трансформатор струму роз'ємний, 200/5</v>
      </c>
      <c r="E108" s="81" t="str">
        <f ca="1">IFERROR(
  VLOOKUP(A108, '1C'!B:Q, 15, 0),)</f>
        <v>Інше</v>
      </c>
      <c r="F108" s="82" t="str">
        <f ca="1">IFERROR(
  VLOOKUP(A108, '1C'!B:S, 18, 0),)</f>
        <v>-</v>
      </c>
      <c r="G108" s="83" t="str">
        <f ca="1">IFERROR(
  VLOOKUP(A108, '1C'!B:U, 19, 0),)</f>
        <v>-</v>
      </c>
      <c r="H108" s="81" t="str">
        <f ca="1">IFERROR(
  VLOOKUP(A108, '1C'!B:G, 6, 0),)</f>
        <v>NTTT200X5</v>
      </c>
      <c r="I108" s="90">
        <f ca="1">IFERROR( VLOOKUP(A108, '1C'!B:I, 8, 0),)</f>
        <v>0</v>
      </c>
      <c r="J108" s="91" t="str">
        <f ca="1">IFERROR(
  VLOOKUP(A108, '1C'!B:H, 7, 0),)</f>
        <v>8504 33 00 90</v>
      </c>
      <c r="K108" s="86"/>
      <c r="L108" s="92"/>
    </row>
    <row r="109" spans="1:12" ht="14.4">
      <c r="A109" s="88" t="str">
        <f ca="1">IFERROR(__xludf.DUMMYFUNCTION("iferror(IFERROR(
HYPERLINK(
  VLOOKUP(
    INDEX(UNIQUE(FLATTEN({'1C'!$A$2:A200,'1C'!$B$2:B200})), ROW(A107)), 
    '1C'!B:O, 12, 0),
  INDEX(UNIQUE(FLATTEN({'1C'!$A$2:A200,'1C'!$B$2:B200})), ROW(A107))),
MATCH(INDEX(UNIQUE(FLATTEN({'1C'!$A$2:A200,'1C'!$B"&amp;"$2:B200})), ROW(A107)), L$3:L200, 0)
),)"),"SCT-T36 400/5")</f>
        <v>SCT-T36 400/5</v>
      </c>
      <c r="B109" s="89">
        <f ca="1">IFERROR(
  VLOOKUP(A109, '1C'!B:D, 3, 0),)</f>
        <v>1960</v>
      </c>
      <c r="C109" s="89">
        <f ca="1">IFERROR(
  VLOOKUP(A109, '1C'!B:Y, 24, 0),)</f>
        <v>1960</v>
      </c>
      <c r="D109" s="80" t="str">
        <f ca="1">IFERROR(
  VLOOKUP(A109, '1C'!B:J, 9, 0),)</f>
        <v>Трансформатор струму роз'ємний, 400/5</v>
      </c>
      <c r="E109" s="81" t="str">
        <f ca="1">IFERROR(
  VLOOKUP(A109, '1C'!B:Q, 15, 0),)</f>
        <v>Інше</v>
      </c>
      <c r="F109" s="82" t="str">
        <f ca="1">IFERROR(
  VLOOKUP(A109, '1C'!B:S, 18, 0),)</f>
        <v>-</v>
      </c>
      <c r="G109" s="83" t="str">
        <f ca="1">IFERROR(
  VLOOKUP(A109, '1C'!B:U, 19, 0),)</f>
        <v>-</v>
      </c>
      <c r="H109" s="81" t="str">
        <f ca="1">IFERROR(
  VLOOKUP(A109, '1C'!B:G, 6, 0),)</f>
        <v>NTTT400X5</v>
      </c>
      <c r="I109" s="90">
        <f ca="1">IFERROR( VLOOKUP(A109, '1C'!B:I, 8, 0),)</f>
        <v>0</v>
      </c>
      <c r="J109" s="91" t="str">
        <f ca="1">IFERROR(
  VLOOKUP(A109, '1C'!B:H, 7, 0),)</f>
        <v>8504 33 00 90</v>
      </c>
      <c r="K109" s="86"/>
      <c r="L109" s="92"/>
    </row>
    <row r="110" spans="1:12" ht="14.4">
      <c r="A110" s="88" t="str">
        <f ca="1">IFERROR(__xludf.DUMMYFUNCTION("iferror(IFERROR(
HYPERLINK(
  VLOOKUP(
    INDEX(UNIQUE(FLATTEN({'1C'!$A$2:A200,'1C'!$B$2:B200})), ROW(A108)), 
    '1C'!B:O, 12, 0),
  INDEX(UNIQUE(FLATTEN({'1C'!$A$2:A200,'1C'!$B$2:B200})), ROW(A108))),
MATCH(INDEX(UNIQUE(FLATTEN({'1C'!$A$2:A200,'1C'!$B"&amp;"$2:B200})), ROW(A108)), L$3:L200, 0)
),)"),"SCT-TXX 600/5")</f>
        <v>SCT-TXX 600/5</v>
      </c>
      <c r="B110" s="89">
        <f ca="1">IFERROR(
  VLOOKUP(A110, '1C'!B:D, 3, 0),)</f>
        <v>2420</v>
      </c>
      <c r="C110" s="89">
        <f ca="1">IFERROR(
  VLOOKUP(A110, '1C'!B:Y, 24, 0),)</f>
        <v>2420</v>
      </c>
      <c r="D110" s="80" t="str">
        <f ca="1">IFERROR(
  VLOOKUP(A110, '1C'!B:J, 9, 0),)</f>
        <v>Трансформатор струму роз'ємний, 600/5</v>
      </c>
      <c r="E110" s="81" t="str">
        <f ca="1">IFERROR(
  VLOOKUP(A110, '1C'!B:Q, 15, 0),)</f>
        <v>Інше</v>
      </c>
      <c r="F110" s="82" t="str">
        <f ca="1">IFERROR(
  VLOOKUP(A110, '1C'!B:S, 18, 0),)</f>
        <v>-</v>
      </c>
      <c r="G110" s="83" t="str">
        <f ca="1">IFERROR(
  VLOOKUP(A110, '1C'!B:U, 19, 0),)</f>
        <v>-</v>
      </c>
      <c r="H110" s="81" t="str">
        <f ca="1">IFERROR(
  VLOOKUP(A110, '1C'!B:G, 6, 0),)</f>
        <v>NTTT600X5</v>
      </c>
      <c r="I110" s="90">
        <f ca="1">IFERROR( VLOOKUP(A110, '1C'!B:I, 8, 0),)</f>
        <v>0</v>
      </c>
      <c r="J110" s="91" t="str">
        <f ca="1">IFERROR(
  VLOOKUP(A110, '1C'!B:H, 7, 0),)</f>
        <v>8504 33 00 90</v>
      </c>
      <c r="K110" s="86"/>
      <c r="L110" s="92"/>
    </row>
    <row r="111" spans="1:12" ht="14.4">
      <c r="A111" s="88" t="str">
        <f ca="1">IFERROR(__xludf.DUMMYFUNCTION("iferror(IFERROR(
HYPERLINK(
  VLOOKUP(
    INDEX(UNIQUE(FLATTEN({'1C'!$A$2:A200,'1C'!$B$2:B200})), ROW(A109)), 
    '1C'!B:O, 12, 0),
  INDEX(UNIQUE(FLATTEN({'1C'!$A$2:A200,'1C'!$B$2:B200})), ROW(A109))),
MATCH(INDEX(UNIQUE(FLATTEN({'1C'!$A$2:A200,'1C'!$B"&amp;"$2:B200})), ROW(A109)), L$3:L200, 0)
),)"),"SCT-T50 800/5")</f>
        <v>SCT-T50 800/5</v>
      </c>
      <c r="B111" s="89">
        <f ca="1">IFERROR(
  VLOOKUP(A111, '1C'!B:D, 3, 0),)</f>
        <v>3450</v>
      </c>
      <c r="C111" s="89">
        <f ca="1">IFERROR(
  VLOOKUP(A111, '1C'!B:Y, 24, 0),)</f>
        <v>3450</v>
      </c>
      <c r="D111" s="80" t="str">
        <f ca="1">IFERROR(
  VLOOKUP(A111, '1C'!B:J, 9, 0),)</f>
        <v>Трансформатор струму роз'ємний, 800/5</v>
      </c>
      <c r="E111" s="81" t="str">
        <f ca="1">IFERROR(
  VLOOKUP(A111, '1C'!B:Q, 15, 0),)</f>
        <v>Інше</v>
      </c>
      <c r="F111" s="82" t="str">
        <f ca="1">IFERROR(
  VLOOKUP(A111, '1C'!B:S, 18, 0),)</f>
        <v>-</v>
      </c>
      <c r="G111" s="83" t="str">
        <f ca="1">IFERROR(
  VLOOKUP(A111, '1C'!B:U, 19, 0),)</f>
        <v>-</v>
      </c>
      <c r="H111" s="81" t="str">
        <f ca="1">IFERROR(
  VLOOKUP(A111, '1C'!B:G, 6, 0),)</f>
        <v>NTTT800X5</v>
      </c>
      <c r="I111" s="90">
        <f ca="1">IFERROR( VLOOKUP(A111, '1C'!B:I, 8, 0),)</f>
        <v>0</v>
      </c>
      <c r="J111" s="91" t="str">
        <f ca="1">IFERROR(
  VLOOKUP(A111, '1C'!B:H, 7, 0),)</f>
        <v>8504 33 00 90</v>
      </c>
      <c r="K111" s="86"/>
      <c r="L111" s="92"/>
    </row>
    <row r="112" spans="1:12" ht="14.4">
      <c r="A112" s="93" t="str">
        <f ca="1">IFERROR(__xludf.DUMMYFUNCTION("iferror(IFERROR(
HYPERLINK(
  VLOOKUP(
    INDEX(UNIQUE(FLATTEN({'1C'!$A$2:A200,'1C'!$B$2:B200})), ROW(A110)), 
    '1C'!B:O, 12, 0),
  INDEX(UNIQUE(FLATTEN({'1C'!$A$2:A200,'1C'!$B$2:B200})), ROW(A110))),
MATCH(INDEX(UNIQUE(FLATTEN({'1C'!$A$2:A200,'1C'!$B"&amp;"$2:B200})), ROW(A110)), L$3:L200, 0)
),)"),"ОБМЕЖУВАЧІ ПЕРЕНАПРУГИ (ОПН)")</f>
        <v>ОБМЕЖУВАЧІ ПЕРЕНАПРУГИ (ОПН)</v>
      </c>
      <c r="B112" s="89">
        <f ca="1">IFERROR(
  VLOOKUP(A112, '1C'!B:D, 3, 0),)</f>
        <v>0</v>
      </c>
      <c r="C112" s="89"/>
      <c r="D112" s="80">
        <f ca="1">IFERROR(
  VLOOKUP(A112, '1C'!B:J, 9, 0),)</f>
        <v>0</v>
      </c>
      <c r="E112" s="81">
        <f ca="1">IFERROR(
  VLOOKUP(A112, '1C'!B:Q, 15, 0),)</f>
        <v>0</v>
      </c>
      <c r="F112" s="82">
        <f ca="1">IFERROR(
  VLOOKUP(A112, '1C'!B:S, 18, 0),)</f>
        <v>0</v>
      </c>
      <c r="G112" s="83">
        <f ca="1">IFERROR(
  VLOOKUP(A112, '1C'!B:U, 19, 0),)</f>
        <v>0</v>
      </c>
      <c r="H112" s="81">
        <f ca="1">IFERROR(
  VLOOKUP(A112, '1C'!B:G, 6, 0),)</f>
        <v>0</v>
      </c>
      <c r="I112" s="90">
        <f ca="1">IFERROR( VLOOKUP(A112, '1C'!B:I, 8, 0),)</f>
        <v>0</v>
      </c>
      <c r="J112" s="91">
        <f ca="1">IFERROR(
  VLOOKUP(A112, '1C'!B:H, 7, 0),)</f>
        <v>0</v>
      </c>
      <c r="K112" s="86"/>
      <c r="L112" s="92"/>
    </row>
    <row r="113" spans="1:12" ht="14.4">
      <c r="A113" s="88" t="str">
        <f ca="1">IFERROR(__xludf.DUMMYFUNCTION("iferror(IFERROR(
HYPERLINK(
  VLOOKUP(
    INDEX(UNIQUE(FLATTEN({'1C'!$A$2:A200,'1C'!$B$2:B200})), ROW(A111)), 
    '1C'!B:O, 12, 0),
  INDEX(UNIQUE(FLATTEN({'1C'!$A$2:A200,'1C'!$B$2:B200})), ROW(A111))),
MATCH(INDEX(UNIQUE(FLATTEN({'1C'!$A$2:A200,'1C'!$B"&amp;"$2:B200})), ROW(A111)), L$3:L200, 0)
),)"),"OPN-M 10kA")</f>
        <v>OPN-M 10kA</v>
      </c>
      <c r="B113" s="89">
        <f ca="1">IFERROR(
  VLOOKUP(A113, '1C'!B:D, 3, 0),)</f>
        <v>470</v>
      </c>
      <c r="C113" s="89">
        <f ca="1">IFERROR(
  VLOOKUP(A113, '1C'!B:Y, 24, 0),)</f>
        <v>470</v>
      </c>
      <c r="D113" s="80" t="str">
        <f ca="1">IFERROR(
  VLOOKUP(A113, '1C'!B:J, 9, 0),)</f>
        <v>1 модуль 380В; In: 10kA, картридж змінний</v>
      </c>
      <c r="E113" s="81" t="str">
        <f ca="1">IFERROR(
  VLOOKUP(A113, '1C'!B:Q, 15, 0),)</f>
        <v>Інше</v>
      </c>
      <c r="F113" s="82" t="str">
        <f ca="1">IFERROR(
  VLOOKUP(A113, '1C'!B:S, 18, 0),)</f>
        <v>-</v>
      </c>
      <c r="G113" s="83" t="str">
        <f ca="1">IFERROR(
  VLOOKUP(A113, '1C'!B:U, 19, 0),)</f>
        <v>-</v>
      </c>
      <c r="H113" s="81" t="str">
        <f ca="1">IFERROR(
  VLOOKUP(A113, '1C'!B:G, 6, 0),)</f>
        <v>NTOPNC103</v>
      </c>
      <c r="I113" s="90">
        <f ca="1">IFERROR( VLOOKUP(A113, '1C'!B:I, 8, 0),)</f>
        <v>0</v>
      </c>
      <c r="J113" s="91" t="str">
        <f ca="1">IFERROR(
  VLOOKUP(A113, '1C'!B:H, 7, 0),)</f>
        <v>8536 30 90 00</v>
      </c>
      <c r="K113" s="86"/>
      <c r="L113" s="92"/>
    </row>
    <row r="114" spans="1:12" ht="14.4">
      <c r="A114" s="88" t="str">
        <f ca="1">IFERROR(__xludf.DUMMYFUNCTION("iferror(IFERROR(
HYPERLINK(
  VLOOKUP(
    INDEX(UNIQUE(FLATTEN({'1C'!$A$2:A200,'1C'!$B$2:B200})), ROW(A112)), 
    '1C'!B:O, 12, 0),
  INDEX(UNIQUE(FLATTEN({'1C'!$A$2:A200,'1C'!$B$2:B200})), ROW(A112))),
MATCH(INDEX(UNIQUE(FLATTEN({'1C'!$A$2:A200,'1C'!$B"&amp;"$2:B200})), ROW(A112)), L$3:L200, 0)
),)"),"OPN-M 30kA")</f>
        <v>OPN-M 30kA</v>
      </c>
      <c r="B114" s="89">
        <f ca="1">IFERROR(
  VLOOKUP(A114, '1C'!B:D, 3, 0),)</f>
        <v>470</v>
      </c>
      <c r="C114" s="89">
        <f ca="1">IFERROR(
  VLOOKUP(A114, '1C'!B:Y, 24, 0),)</f>
        <v>470</v>
      </c>
      <c r="D114" s="80" t="str">
        <f ca="1">IFERROR(
  VLOOKUP(A114, '1C'!B:J, 9, 0),)</f>
        <v>1 модуль 380В; In: 30kA, картридж змінний</v>
      </c>
      <c r="E114" s="81" t="str">
        <f ca="1">IFERROR(
  VLOOKUP(A114, '1C'!B:Q, 15, 0),)</f>
        <v>Інше</v>
      </c>
      <c r="F114" s="82" t="str">
        <f ca="1">IFERROR(
  VLOOKUP(A114, '1C'!B:S, 18, 0),)</f>
        <v>-</v>
      </c>
      <c r="G114" s="83" t="str">
        <f ca="1">IFERROR(
  VLOOKUP(A114, '1C'!B:U, 19, 0),)</f>
        <v>-</v>
      </c>
      <c r="H114" s="81" t="str">
        <f ca="1">IFERROR(
  VLOOKUP(A114, '1C'!B:G, 6, 0),)</f>
        <v>NTOPNC303</v>
      </c>
      <c r="I114" s="90">
        <f ca="1">IFERROR( VLOOKUP(A114, '1C'!B:I, 8, 0),)</f>
        <v>0</v>
      </c>
      <c r="J114" s="91" t="str">
        <f ca="1">IFERROR(
  VLOOKUP(A114, '1C'!B:H, 7, 0),)</f>
        <v>8536 30 90 00</v>
      </c>
      <c r="K114" s="86"/>
      <c r="L114" s="92"/>
    </row>
    <row r="115" spans="1:12" ht="14.4">
      <c r="A115" s="88" t="str">
        <f ca="1">IFERROR(__xludf.DUMMYFUNCTION("iferror(IFERROR(
HYPERLINK(
  VLOOKUP(
    INDEX(UNIQUE(FLATTEN({'1C'!$A$2:A200,'1C'!$B$2:B200})), ROW(A113)), 
    '1C'!B:O, 12, 0),
  INDEX(UNIQUE(FLATTEN({'1C'!$A$2:A200,'1C'!$B$2:B200})), ROW(A113))),
MATCH(INDEX(UNIQUE(FLATTEN({'1C'!$A$2:A200,'1C'!$B"&amp;"$2:B200})), ROW(A113)), L$3:L200, 0)
),)"),"N-PE")</f>
        <v>N-PE</v>
      </c>
      <c r="B115" s="89">
        <f ca="1">IFERROR(
  VLOOKUP(A115, '1C'!B:D, 3, 0),)</f>
        <v>620</v>
      </c>
      <c r="C115" s="89">
        <f ca="1">IFERROR(
  VLOOKUP(A115, '1C'!B:Y, 24, 0),)</f>
        <v>620</v>
      </c>
      <c r="D115" s="80" t="str">
        <f ca="1">IFERROR(
  VLOOKUP(A115, '1C'!B:J, 9, 0),)</f>
        <v>1 модуль 220В; In: 20kA, картридж змінний N-PE</v>
      </c>
      <c r="E115" s="81" t="str">
        <f ca="1">IFERROR(
  VLOOKUP(A115, '1C'!B:Q, 15, 0),)</f>
        <v>Інше</v>
      </c>
      <c r="F115" s="82" t="str">
        <f ca="1">IFERROR(
  VLOOKUP(A115, '1C'!B:S, 18, 0),)</f>
        <v>-</v>
      </c>
      <c r="G115" s="83" t="str">
        <f ca="1">IFERROR(
  VLOOKUP(A115, '1C'!B:U, 19, 0),)</f>
        <v>-</v>
      </c>
      <c r="H115" s="81" t="str">
        <f ca="1">IFERROR(
  VLOOKUP(A115, '1C'!B:G, 6, 0),)</f>
        <v>NTOPNCNPE</v>
      </c>
      <c r="I115" s="90">
        <f ca="1">IFERROR( VLOOKUP(A115, '1C'!B:I, 8, 0),)</f>
        <v>0</v>
      </c>
      <c r="J115" s="91" t="str">
        <f ca="1">IFERROR(
  VLOOKUP(A115, '1C'!B:H, 7, 0),)</f>
        <v>8536 30 90 00</v>
      </c>
      <c r="K115" s="86"/>
      <c r="L115" s="92"/>
    </row>
    <row r="116" spans="1:12" ht="14.4">
      <c r="A116" s="88" t="str">
        <f ca="1">IFERROR(__xludf.DUMMYFUNCTION("iferror(IFERROR(
HYPERLINK(
  VLOOKUP(
    INDEX(UNIQUE(FLATTEN({'1C'!$A$2:A200,'1C'!$B$2:B200})), ROW(A114)), 
    '1C'!B:O, 12, 0),
  INDEX(UNIQUE(FLATTEN({'1C'!$A$2:A200,'1C'!$B$2:B200})), ROW(A114))),
MATCH(INDEX(UNIQUE(FLATTEN({'1C'!$A$2:A200,'1C'!$B"&amp;"$2:B200})), ROW(A114)), L$3:L200, 0)
),)"),"OPN-M (1S)10kA")</f>
        <v>OPN-M (1S)10kA</v>
      </c>
      <c r="B116" s="89">
        <f ca="1">IFERROR(
  VLOOKUP(A116, '1C'!B:D, 3, 0),)</f>
        <v>540</v>
      </c>
      <c r="C116" s="89">
        <f ca="1">IFERROR(
  VLOOKUP(A116, '1C'!B:Y, 24, 0),)</f>
        <v>540</v>
      </c>
      <c r="D116" s="80" t="str">
        <f ca="1">IFERROR(
  VLOOKUP(A116, '1C'!B:J, 9, 0),)</f>
        <v>1 модуль 380В; In: 10kA</v>
      </c>
      <c r="E116" s="81" t="str">
        <f ca="1">IFERROR(
  VLOOKUP(A116, '1C'!B:Q, 15, 0),)</f>
        <v>DIN</v>
      </c>
      <c r="F116" s="82">
        <f ca="1">IFERROR(
  VLOOKUP(A116, '1C'!B:S, 18, 0),)</f>
        <v>1</v>
      </c>
      <c r="G116" s="83" t="str">
        <f ca="1">IFERROR(
  VLOOKUP(A116, '1C'!B:U, 19, 0),)</f>
        <v>-</v>
      </c>
      <c r="H116" s="81" t="str">
        <f ca="1">IFERROR(
  VLOOKUP(A116, '1C'!B:G, 6, 0),)</f>
        <v>NTOPN1S10</v>
      </c>
      <c r="I116" s="90">
        <f ca="1">IFERROR( VLOOKUP(A116, '1C'!B:I, 8, 0),)</f>
        <v>0</v>
      </c>
      <c r="J116" s="91" t="str">
        <f ca="1">IFERROR(
  VLOOKUP(A116, '1C'!B:H, 7, 0),)</f>
        <v>8536 30 90 00</v>
      </c>
      <c r="K116" s="86"/>
      <c r="L116" s="92"/>
    </row>
    <row r="117" spans="1:12" ht="14.4">
      <c r="A117" s="88" t="str">
        <f ca="1">IFERROR(__xludf.DUMMYFUNCTION("iferror(IFERROR(
HYPERLINK(
  VLOOKUP(
    INDEX(UNIQUE(FLATTEN({'1C'!$A$2:A200,'1C'!$B$2:B200})), ROW(A115)), 
    '1C'!B:O, 12, 0),
  INDEX(UNIQUE(FLATTEN({'1C'!$A$2:A200,'1C'!$B$2:B200})), ROW(A115))),
MATCH(INDEX(UNIQUE(FLATTEN({'1C'!$A$2:A200,'1C'!$B"&amp;"$2:B200})), ROW(A115)), L$3:L200, 0)
),)"),"OPN-M (1S)30kA")</f>
        <v>OPN-M (1S)30kA</v>
      </c>
      <c r="B117" s="89">
        <f ca="1">IFERROR(
  VLOOKUP(A117, '1C'!B:D, 3, 0),)</f>
        <v>540</v>
      </c>
      <c r="C117" s="89">
        <f ca="1">IFERROR(
  VLOOKUP(A117, '1C'!B:Y, 24, 0),)</f>
        <v>540</v>
      </c>
      <c r="D117" s="80" t="str">
        <f ca="1">IFERROR(
  VLOOKUP(A117, '1C'!B:J, 9, 0),)</f>
        <v>1 модуль 380В; In: 30kA</v>
      </c>
      <c r="E117" s="81" t="str">
        <f ca="1">IFERROR(
  VLOOKUP(A117, '1C'!B:Q, 15, 0),)</f>
        <v>DIN</v>
      </c>
      <c r="F117" s="82">
        <f ca="1">IFERROR(
  VLOOKUP(A117, '1C'!B:S, 18, 0),)</f>
        <v>1</v>
      </c>
      <c r="G117" s="83" t="str">
        <f ca="1">IFERROR(
  VLOOKUP(A117, '1C'!B:U, 19, 0),)</f>
        <v>-</v>
      </c>
      <c r="H117" s="81" t="str">
        <f ca="1">IFERROR(
  VLOOKUP(A117, '1C'!B:G, 6, 0),)</f>
        <v>NTOPN1S30</v>
      </c>
      <c r="I117" s="90">
        <f ca="1">IFERROR( VLOOKUP(A117, '1C'!B:I, 8, 0),)</f>
        <v>0</v>
      </c>
      <c r="J117" s="91" t="str">
        <f ca="1">IFERROR(
  VLOOKUP(A117, '1C'!B:H, 7, 0),)</f>
        <v>8536 30 90 00</v>
      </c>
      <c r="K117" s="86"/>
      <c r="L117" s="92"/>
    </row>
    <row r="118" spans="1:12" ht="14.4">
      <c r="A118" s="88" t="str">
        <f ca="1">IFERROR(__xludf.DUMMYFUNCTION("iferror(IFERROR(
HYPERLINK(
  VLOOKUP(
    INDEX(UNIQUE(FLATTEN({'1C'!$A$2:A200,'1C'!$B$2:B200})), ROW(A116)), 
    '1C'!B:O, 12, 0),
  INDEX(UNIQUE(FLATTEN({'1C'!$A$2:A200,'1C'!$B$2:B200})), ROW(A116))),
MATCH(INDEX(UNIQUE(FLATTEN({'1C'!$A$2:A200,'1C'!$B"&amp;"$2:B200})), ROW(A116)), L$3:L200, 0)
),)"),"OPN-M (2S)20kA")</f>
        <v>OPN-M (2S)20kA</v>
      </c>
      <c r="B118" s="89">
        <f ca="1">IFERROR(
  VLOOKUP(A118, '1C'!B:D, 3, 0),)</f>
        <v>990</v>
      </c>
      <c r="C118" s="89">
        <f ca="1">IFERROR(
  VLOOKUP(A118, '1C'!B:Y, 24, 0),)</f>
        <v>990</v>
      </c>
      <c r="D118" s="80" t="str">
        <f ca="1">IFERROR(
  VLOOKUP(A118, '1C'!B:J, 9, 0),)</f>
        <v>2 модулі 220В; In: 20kA</v>
      </c>
      <c r="E118" s="81" t="str">
        <f ca="1">IFERROR(
  VLOOKUP(A118, '1C'!B:Q, 15, 0),)</f>
        <v>DIN</v>
      </c>
      <c r="F118" s="82">
        <f ca="1">IFERROR(
  VLOOKUP(A118, '1C'!B:S, 18, 0),)</f>
        <v>2</v>
      </c>
      <c r="G118" s="83" t="str">
        <f ca="1">IFERROR(
  VLOOKUP(A118, '1C'!B:U, 19, 0),)</f>
        <v>-</v>
      </c>
      <c r="H118" s="81" t="str">
        <f ca="1">IFERROR(
  VLOOKUP(A118, '1C'!B:G, 6, 0),)</f>
        <v>NTOPN2S20</v>
      </c>
      <c r="I118" s="90">
        <f ca="1">IFERROR( VLOOKUP(A118, '1C'!B:I, 8, 0),)</f>
        <v>0</v>
      </c>
      <c r="J118" s="91" t="str">
        <f ca="1">IFERROR(
  VLOOKUP(A118, '1C'!B:H, 7, 0),)</f>
        <v>8536 30 90 00</v>
      </c>
      <c r="K118" s="86"/>
      <c r="L118" s="92"/>
    </row>
    <row r="119" spans="1:12" ht="14.4">
      <c r="A119" s="88" t="str">
        <f ca="1">IFERROR(__xludf.DUMMYFUNCTION("iferror(IFERROR(
HYPERLINK(
  VLOOKUP(
    INDEX(UNIQUE(FLATTEN({'1C'!$A$2:A200,'1C'!$B$2:B200})), ROW(A117)), 
    '1C'!B:O, 12, 0),
  INDEX(UNIQUE(FLATTEN({'1C'!$A$2:A200,'1C'!$B$2:B200})), ROW(A117))),
MATCH(INDEX(UNIQUE(FLATTEN({'1C'!$A$2:A200,'1C'!$B"&amp;"$2:B200})), ROW(A117)), L$3:L200, 0)
),)"),"OPN-M (3S)10kA")</f>
        <v>OPN-M (3S)10kA</v>
      </c>
      <c r="B119" s="89">
        <f ca="1">IFERROR(
  VLOOKUP(A119, '1C'!B:D, 3, 0),)</f>
        <v>1190</v>
      </c>
      <c r="C119" s="89">
        <f ca="1">IFERROR(
  VLOOKUP(A119, '1C'!B:Y, 24, 0),)</f>
        <v>1190</v>
      </c>
      <c r="D119" s="80" t="str">
        <f ca="1">IFERROR(
  VLOOKUP(A119, '1C'!B:J, 9, 0),)</f>
        <v>3 модулі 380В; In: 10kA</v>
      </c>
      <c r="E119" s="81" t="str">
        <f ca="1">IFERROR(
  VLOOKUP(A119, '1C'!B:Q, 15, 0),)</f>
        <v>DIN</v>
      </c>
      <c r="F119" s="82">
        <f ca="1">IFERROR(
  VLOOKUP(A119, '1C'!B:S, 18, 0),)</f>
        <v>3</v>
      </c>
      <c r="G119" s="83" t="str">
        <f ca="1">IFERROR(
  VLOOKUP(A119, '1C'!B:U, 19, 0),)</f>
        <v>-</v>
      </c>
      <c r="H119" s="81" t="str">
        <f ca="1">IFERROR(
  VLOOKUP(A119, '1C'!B:G, 6, 0),)</f>
        <v>NTOPN3S10</v>
      </c>
      <c r="I119" s="90">
        <f ca="1">IFERROR( VLOOKUP(A119, '1C'!B:I, 8, 0),)</f>
        <v>0</v>
      </c>
      <c r="J119" s="91" t="str">
        <f ca="1">IFERROR(
  VLOOKUP(A119, '1C'!B:H, 7, 0),)</f>
        <v>8536 30 90 00</v>
      </c>
      <c r="K119" s="86"/>
      <c r="L119" s="92"/>
    </row>
    <row r="120" spans="1:12" ht="14.4">
      <c r="A120" s="88" t="str">
        <f ca="1">IFERROR(__xludf.DUMMYFUNCTION("iferror(IFERROR(
HYPERLINK(
  VLOOKUP(
    INDEX(UNIQUE(FLATTEN({'1C'!$A$2:A200,'1C'!$B$2:B200})), ROW(A118)), 
    '1C'!B:O, 12, 0),
  INDEX(UNIQUE(FLATTEN({'1C'!$A$2:A200,'1C'!$B$2:B200})), ROW(A118))),
MATCH(INDEX(UNIQUE(FLATTEN({'1C'!$A$2:A200,'1C'!$B"&amp;"$2:B200})), ROW(A118)), L$3:L200, 0)
),)"),"OPN-M (3S)20kA")</f>
        <v>OPN-M (3S)20kA</v>
      </c>
      <c r="B120" s="89">
        <f ca="1">IFERROR(
  VLOOKUP(A120, '1C'!B:D, 3, 0),)</f>
        <v>1190</v>
      </c>
      <c r="C120" s="89">
        <f ca="1">IFERROR(
  VLOOKUP(A120, '1C'!B:Y, 24, 0),)</f>
        <v>1190</v>
      </c>
      <c r="D120" s="80" t="str">
        <f ca="1">IFERROR(
  VLOOKUP(A120, '1C'!B:J, 9, 0),)</f>
        <v>3 модулі 380В In: 20kA</v>
      </c>
      <c r="E120" s="81" t="str">
        <f ca="1">IFERROR(
  VLOOKUP(A120, '1C'!B:Q, 15, 0),)</f>
        <v>DIN</v>
      </c>
      <c r="F120" s="82">
        <f ca="1">IFERROR(
  VLOOKUP(A120, '1C'!B:S, 18, 0),)</f>
        <v>3</v>
      </c>
      <c r="G120" s="83" t="str">
        <f ca="1">IFERROR(
  VLOOKUP(A120, '1C'!B:U, 19, 0),)</f>
        <v>-</v>
      </c>
      <c r="H120" s="81" t="str">
        <f ca="1">IFERROR(
  VLOOKUP(A120, '1C'!B:G, 6, 0),)</f>
        <v>NTOPN3S20</v>
      </c>
      <c r="I120" s="90">
        <f ca="1">IFERROR( VLOOKUP(A120, '1C'!B:I, 8, 0),)</f>
        <v>0</v>
      </c>
      <c r="J120" s="91" t="str">
        <f ca="1">IFERROR(
  VLOOKUP(A120, '1C'!B:H, 7, 0),)</f>
        <v>8536 30 90 00</v>
      </c>
      <c r="K120" s="86"/>
      <c r="L120" s="92"/>
    </row>
    <row r="121" spans="1:12" ht="14.4">
      <c r="A121" s="88" t="str">
        <f ca="1">IFERROR(__xludf.DUMMYFUNCTION("iferror(IFERROR(
HYPERLINK(
  VLOOKUP(
    INDEX(UNIQUE(FLATTEN({'1C'!$A$2:A200,'1C'!$B$2:B200})), ROW(A119)), 
    '1C'!B:O, 12, 0),
  INDEX(UNIQUE(FLATTEN({'1C'!$A$2:A200,'1C'!$B$2:B200})), ROW(A119))),
MATCH(INDEX(UNIQUE(FLATTEN({'1C'!$A$2:A200,'1C'!$B"&amp;"$2:B200})), ROW(A119)), L$3:L200, 0)
),)"),"OPN-M (3S)30kA")</f>
        <v>OPN-M (3S)30kA</v>
      </c>
      <c r="B121" s="89">
        <f ca="1">IFERROR(
  VLOOKUP(A121, '1C'!B:D, 3, 0),)</f>
        <v>1190</v>
      </c>
      <c r="C121" s="89">
        <f ca="1">IFERROR(
  VLOOKUP(A121, '1C'!B:Y, 24, 0),)</f>
        <v>1190</v>
      </c>
      <c r="D121" s="80" t="str">
        <f ca="1">IFERROR(
  VLOOKUP(A121, '1C'!B:J, 9, 0),)</f>
        <v>3 модулі 380В; In: 30kA</v>
      </c>
      <c r="E121" s="81" t="str">
        <f ca="1">IFERROR(
  VLOOKUP(A121, '1C'!B:Q, 15, 0),)</f>
        <v>DIN</v>
      </c>
      <c r="F121" s="82">
        <f ca="1">IFERROR(
  VLOOKUP(A121, '1C'!B:S, 18, 0),)</f>
        <v>3</v>
      </c>
      <c r="G121" s="83" t="str">
        <f ca="1">IFERROR(
  VLOOKUP(A121, '1C'!B:U, 19, 0),)</f>
        <v>-</v>
      </c>
      <c r="H121" s="81" t="str">
        <f ca="1">IFERROR(
  VLOOKUP(A121, '1C'!B:G, 6, 0),)</f>
        <v>NTOPN3S30</v>
      </c>
      <c r="I121" s="90">
        <f ca="1">IFERROR( VLOOKUP(A121, '1C'!B:I, 8, 0),)</f>
        <v>0</v>
      </c>
      <c r="J121" s="91" t="str">
        <f ca="1">IFERROR(
  VLOOKUP(A121, '1C'!B:H, 7, 0),)</f>
        <v>8536 30 90 00</v>
      </c>
      <c r="K121" s="86"/>
      <c r="L121" s="92"/>
    </row>
    <row r="122" spans="1:12" ht="14.4">
      <c r="A122" s="88" t="str">
        <f ca="1">IFERROR(__xludf.DUMMYFUNCTION("iferror(IFERROR(
HYPERLINK(
  VLOOKUP(
    INDEX(UNIQUE(FLATTEN({'1C'!$A$2:A200,'1C'!$B$2:B200})), ROW(A120)), 
    '1C'!B:O, 12, 0),
  INDEX(UNIQUE(FLATTEN({'1C'!$A$2:A200,'1C'!$B$2:B200})), ROW(A120))),
MATCH(INDEX(UNIQUE(FLATTEN({'1C'!$A$2:A200,'1C'!$B"&amp;"$2:B200})), ROW(A120)), L$3:L200, 0)
),)"),"OPN-M (4S)10kA")</f>
        <v>OPN-M (4S)10kA</v>
      </c>
      <c r="B122" s="89">
        <f ca="1">IFERROR(
  VLOOKUP(A122, '1C'!B:D, 3, 0),)</f>
        <v>1600</v>
      </c>
      <c r="C122" s="89">
        <f ca="1">IFERROR(
  VLOOKUP(A122, '1C'!B:Y, 24, 0),)</f>
        <v>1600</v>
      </c>
      <c r="D122" s="80" t="str">
        <f ca="1">IFERROR(
  VLOOKUP(A122, '1C'!B:J, 9, 0),)</f>
        <v>4 модулі 380В; In: 10kA</v>
      </c>
      <c r="E122" s="81" t="str">
        <f ca="1">IFERROR(
  VLOOKUP(A122, '1C'!B:Q, 15, 0),)</f>
        <v>DIN</v>
      </c>
      <c r="F122" s="82">
        <f ca="1">IFERROR(
  VLOOKUP(A122, '1C'!B:S, 18, 0),)</f>
        <v>4</v>
      </c>
      <c r="G122" s="83" t="str">
        <f ca="1">IFERROR(
  VLOOKUP(A122, '1C'!B:U, 19, 0),)</f>
        <v>-</v>
      </c>
      <c r="H122" s="81" t="str">
        <f ca="1">IFERROR(
  VLOOKUP(A122, '1C'!B:G, 6, 0),)</f>
        <v>NTOPN4S10</v>
      </c>
      <c r="I122" s="90">
        <f ca="1">IFERROR( VLOOKUP(A122, '1C'!B:I, 8, 0),)</f>
        <v>0</v>
      </c>
      <c r="J122" s="91" t="str">
        <f ca="1">IFERROR(
  VLOOKUP(A122, '1C'!B:H, 7, 0),)</f>
        <v>8536 30 90 00</v>
      </c>
      <c r="K122" s="86"/>
      <c r="L122" s="92"/>
    </row>
    <row r="123" spans="1:12" ht="14.4">
      <c r="A123" s="88" t="str">
        <f ca="1">IFERROR(__xludf.DUMMYFUNCTION("iferror(IFERROR(
HYPERLINK(
  VLOOKUP(
    INDEX(UNIQUE(FLATTEN({'1C'!$A$2:A200,'1C'!$B$2:B200})), ROW(A121)), 
    '1C'!B:O, 12, 0),
  INDEX(UNIQUE(FLATTEN({'1C'!$A$2:A200,'1C'!$B$2:B200})), ROW(A121))),
MATCH(INDEX(UNIQUE(FLATTEN({'1C'!$A$2:A200,'1C'!$B"&amp;"$2:B200})), ROW(A121)), L$3:L200, 0)
),)"),"OPN-M (4S)20kA")</f>
        <v>OPN-M (4S)20kA</v>
      </c>
      <c r="B123" s="89">
        <f ca="1">IFERROR(
  VLOOKUP(A123, '1C'!B:D, 3, 0),)</f>
        <v>1600</v>
      </c>
      <c r="C123" s="89">
        <f ca="1">IFERROR(
  VLOOKUP(A123, '1C'!B:Y, 24, 0),)</f>
        <v>1600</v>
      </c>
      <c r="D123" s="80" t="str">
        <f ca="1">IFERROR(
  VLOOKUP(A123, '1C'!B:J, 9, 0),)</f>
        <v>4 модулі 380В; In: 20kA</v>
      </c>
      <c r="E123" s="81" t="str">
        <f ca="1">IFERROR(
  VLOOKUP(A123, '1C'!B:Q, 15, 0),)</f>
        <v>DIN</v>
      </c>
      <c r="F123" s="82">
        <f ca="1">IFERROR(
  VLOOKUP(A123, '1C'!B:S, 18, 0),)</f>
        <v>4</v>
      </c>
      <c r="G123" s="83" t="str">
        <f ca="1">IFERROR(
  VLOOKUP(A123, '1C'!B:U, 19, 0),)</f>
        <v>-</v>
      </c>
      <c r="H123" s="81" t="str">
        <f ca="1">IFERROR(
  VLOOKUP(A123, '1C'!B:G, 6, 0),)</f>
        <v>NTOPN4S20</v>
      </c>
      <c r="I123" s="90">
        <f ca="1">IFERROR( VLOOKUP(A123, '1C'!B:I, 8, 0),)</f>
        <v>0</v>
      </c>
      <c r="J123" s="91" t="str">
        <f ca="1">IFERROR(
  VLOOKUP(A123, '1C'!B:H, 7, 0),)</f>
        <v>8536 30 90 00</v>
      </c>
      <c r="K123" s="86"/>
      <c r="L123" s="92"/>
    </row>
    <row r="124" spans="1:12" ht="14.4">
      <c r="A124" s="88" t="str">
        <f ca="1">IFERROR(__xludf.DUMMYFUNCTION("iferror(IFERROR(
HYPERLINK(
  VLOOKUP(
    INDEX(UNIQUE(FLATTEN({'1C'!$A$2:A200,'1C'!$B$2:B200})), ROW(A122)), 
    '1C'!B:O, 12, 0),
  INDEX(UNIQUE(FLATTEN({'1C'!$A$2:A200,'1C'!$B$2:B200})), ROW(A122))),
MATCH(INDEX(UNIQUE(FLATTEN({'1C'!$A$2:A200,'1C'!$B"&amp;"$2:B200})), ROW(A122)), L$3:L200, 0)
),)"),"OPN-M (4S)30kA")</f>
        <v>OPN-M (4S)30kA</v>
      </c>
      <c r="B124" s="89">
        <f ca="1">IFERROR(
  VLOOKUP(A124, '1C'!B:D, 3, 0),)</f>
        <v>1600</v>
      </c>
      <c r="C124" s="89">
        <f ca="1">IFERROR(
  VLOOKUP(A124, '1C'!B:Y, 24, 0),)</f>
        <v>1600</v>
      </c>
      <c r="D124" s="80" t="str">
        <f ca="1">IFERROR(
  VLOOKUP(A124, '1C'!B:J, 9, 0),)</f>
        <v>4 модулі 380В; In: 30kA</v>
      </c>
      <c r="E124" s="81" t="str">
        <f ca="1">IFERROR(
  VLOOKUP(A124, '1C'!B:Q, 15, 0),)</f>
        <v>DIN</v>
      </c>
      <c r="F124" s="82">
        <f ca="1">IFERROR(
  VLOOKUP(A124, '1C'!B:S, 18, 0),)</f>
        <v>4</v>
      </c>
      <c r="G124" s="83" t="str">
        <f ca="1">IFERROR(
  VLOOKUP(A124, '1C'!B:U, 19, 0),)</f>
        <v>-</v>
      </c>
      <c r="H124" s="81" t="str">
        <f ca="1">IFERROR(
  VLOOKUP(A124, '1C'!B:G, 6, 0),)</f>
        <v>NTOPN4S30</v>
      </c>
      <c r="I124" s="90">
        <f ca="1">IFERROR( VLOOKUP(A124, '1C'!B:I, 8, 0),)</f>
        <v>0</v>
      </c>
      <c r="J124" s="91" t="str">
        <f ca="1">IFERROR(
  VLOOKUP(A124, '1C'!B:H, 7, 0),)</f>
        <v>8536 30 90 00</v>
      </c>
      <c r="K124" s="86"/>
      <c r="L124" s="92"/>
    </row>
    <row r="125" spans="1:12" ht="14.4">
      <c r="A125" s="93" t="str">
        <f ca="1">IFERROR(__xludf.DUMMYFUNCTION("iferror(IFERROR(
HYPERLINK(
  VLOOKUP(
    INDEX(UNIQUE(FLATTEN({'1C'!$A$2:A200,'1C'!$B$2:B200})), ROW(A123)), 
    '1C'!B:O, 12, 0),
  INDEX(UNIQUE(FLATTEN({'1C'!$A$2:A200,'1C'!$B$2:B200})), ROW(A123))),
MATCH(INDEX(UNIQUE(FLATTEN({'1C'!$A$2:A200,'1C'!$B"&amp;"$2:B200})), ROW(A123)), L$3:L200, 0)
),)"),"ОДНОФАЗНІ РЕЛЕ НАПРУГИ (ВИЛКА-РОЗЕТКА)")</f>
        <v>ОДНОФАЗНІ РЕЛЕ НАПРУГИ (ВИЛКА-РОЗЕТКА)</v>
      </c>
      <c r="B125" s="89">
        <f ca="1">IFERROR(
  VLOOKUP(A125, '1C'!B:D, 3, 0),)</f>
        <v>0</v>
      </c>
      <c r="C125" s="89"/>
      <c r="D125" s="80">
        <f ca="1">IFERROR(
  VLOOKUP(A125, '1C'!B:J, 9, 0),)</f>
        <v>0</v>
      </c>
      <c r="E125" s="81">
        <f ca="1">IFERROR(
  VLOOKUP(A125, '1C'!B:Q, 15, 0),)</f>
        <v>0</v>
      </c>
      <c r="F125" s="82">
        <f ca="1">IFERROR(
  VLOOKUP(A125, '1C'!B:S, 18, 0),)</f>
        <v>0</v>
      </c>
      <c r="G125" s="83">
        <f ca="1">IFERROR(
  VLOOKUP(A125, '1C'!B:U, 19, 0),)</f>
        <v>0</v>
      </c>
      <c r="H125" s="81">
        <f ca="1">IFERROR(
  VLOOKUP(A125, '1C'!B:G, 6, 0),)</f>
        <v>0</v>
      </c>
      <c r="I125" s="90">
        <f ca="1">IFERROR( VLOOKUP(A125, '1C'!B:I, 8, 0),)</f>
        <v>0</v>
      </c>
      <c r="J125" s="91">
        <f ca="1">IFERROR(
  VLOOKUP(A125, '1C'!B:H, 7, 0),)</f>
        <v>0</v>
      </c>
      <c r="K125" s="86"/>
      <c r="L125" s="92"/>
    </row>
    <row r="126" spans="1:12" ht="14.4">
      <c r="A126" s="88" t="str">
        <f ca="1">IFERROR(__xludf.DUMMYFUNCTION("iferror(IFERROR(
HYPERLINK(
  VLOOKUP(
    INDEX(UNIQUE(FLATTEN({'1C'!$A$2:A200,'1C'!$B$2:B200})), ROW(A124)), 
    '1C'!B:O, 12, 0),
  INDEX(UNIQUE(FLATTEN({'1C'!$A$2:A200,'1C'!$B$2:B200})), ROW(A124))),
MATCH(INDEX(UNIQUE(FLATTEN({'1C'!$A$2:A200,'1C'!$B"&amp;"$2:B200})), ROW(A124)), L$3:L200, 0)
),)"),"РН-101М")</f>
        <v>РН-101М</v>
      </c>
      <c r="B126" s="89" t="str">
        <f ca="1">IFERROR(
  VLOOKUP(A126, '1C'!B:D, 3, 0),)</f>
        <v>знятий з виробн.</v>
      </c>
      <c r="C126" s="89" t="str">
        <f ca="1">IFERROR(
  VLOOKUP(A126, '1C'!B:Y, 24, 0),)</f>
        <v>знятий з виробн.</v>
      </c>
      <c r="D126" s="80" t="str">
        <f ca="1">IFERROR(
  VLOOKUP(A126, '1C'!B:J, 9, 0),)</f>
        <v>В розетку, індикація напруги і струму, струмовий автомат</v>
      </c>
      <c r="E126" s="81" t="str">
        <f ca="1">IFERROR(
  VLOOKUP(A126, '1C'!B:Q, 15, 0),)</f>
        <v>вилка-розетка</v>
      </c>
      <c r="F126" s="82" t="str">
        <f ca="1">IFERROR(
  VLOOKUP(A126, '1C'!B:S, 18, 0),)</f>
        <v>-</v>
      </c>
      <c r="G126" s="83" t="str">
        <f ca="1">IFERROR(
  VLOOKUP(A126, '1C'!B:U, 19, 0),)</f>
        <v>16А</v>
      </c>
      <c r="H126" s="81" t="str">
        <f ca="1">IFERROR(
  VLOOKUP(A126, '1C'!B:G, 6, 0),)</f>
        <v>NTRN101M0</v>
      </c>
      <c r="I126" s="90" t="str">
        <f ca="1">IFERROR( VLOOKUP(A126, '1C'!B:I, 8, 0),)</f>
        <v>-</v>
      </c>
      <c r="J126" s="91" t="str">
        <f ca="1">IFERROR(
  VLOOKUP(A126, '1C'!B:H, 7, 0),)</f>
        <v>8536 49 00 90</v>
      </c>
      <c r="K126" s="86"/>
      <c r="L126" s="92"/>
    </row>
    <row r="127" spans="1:12" ht="14.4">
      <c r="A127" s="88" t="str">
        <f ca="1">IFERROR(__xludf.DUMMYFUNCTION("iferror(IFERROR(
HYPERLINK(
  VLOOKUP(
    INDEX(UNIQUE(FLATTEN({'1C'!$A$2:A200,'1C'!$B$2:B200})), ROW(A125)), 
    '1C'!B:O, 12, 0),
  INDEX(UNIQUE(FLATTEN({'1C'!$A$2:A200,'1C'!$B$2:B200})), ROW(A125))),
MATCH(INDEX(UNIQUE(FLATTEN({'1C'!$A$2:A200,'1C'!$B"&amp;"$2:B200})), ROW(A125)), L$3:L200, 0)
),)"),"РН-101М1")</f>
        <v>РН-101М1</v>
      </c>
      <c r="B127" s="89">
        <f ca="1">IFERROR(
  VLOOKUP(A127, '1C'!B:D, 3, 0),)</f>
        <v>890</v>
      </c>
      <c r="C127" s="89">
        <f ca="1">IFERROR(
  VLOOKUP(A127, '1C'!B:Y, 24, 0),)</f>
        <v>890</v>
      </c>
      <c r="D127" s="80" t="str">
        <f ca="1">IFERROR(
  VLOOKUP(A127, '1C'!B:J, 9, 0),)</f>
        <v>В розетку, індикація напруги і струму, обмеження струму</v>
      </c>
      <c r="E127" s="81" t="str">
        <f ca="1">IFERROR(
  VLOOKUP(A127, '1C'!B:Q, 15, 0),)</f>
        <v>вилка-розетка</v>
      </c>
      <c r="F127" s="82" t="str">
        <f ca="1">IFERROR(
  VLOOKUP(A127, '1C'!B:S, 18, 0),)</f>
        <v>-</v>
      </c>
      <c r="G127" s="83" t="str">
        <f ca="1">IFERROR(
  VLOOKUP(A127, '1C'!B:U, 19, 0),)</f>
        <v>16А</v>
      </c>
      <c r="H127" s="81" t="str">
        <f ca="1">IFERROR(
  VLOOKUP(A127, '1C'!B:G, 6, 0),)</f>
        <v>NTRN101M1</v>
      </c>
      <c r="I127" s="90">
        <f ca="1">IFERROR( VLOOKUP(A127, '1C'!B:I, 8, 0),)</f>
        <v>4820122950016</v>
      </c>
      <c r="J127" s="91" t="str">
        <f ca="1">IFERROR(
  VLOOKUP(A127, '1C'!B:H, 7, 0),)</f>
        <v>8536 49 00 90</v>
      </c>
      <c r="K127" s="86"/>
      <c r="L127" s="92"/>
    </row>
    <row r="128" spans="1:12" ht="14.4">
      <c r="A128" s="88" t="str">
        <f ca="1">IFERROR(__xludf.DUMMYFUNCTION("iferror(IFERROR(
HYPERLINK(
  VLOOKUP(
    INDEX(UNIQUE(FLATTEN({'1C'!$A$2:A200,'1C'!$B$2:B200})), ROW(A126)), 
    '1C'!B:O, 12, 0),
  INDEX(UNIQUE(FLATTEN({'1C'!$A$2:A200,'1C'!$B$2:B200})), ROW(A126))),
MATCH(INDEX(UNIQUE(FLATTEN({'1C'!$A$2:A200,'1C'!$B"&amp;"$2:B200})), ROW(A126)), L$3:L200, 0)
),)"),"РН-122")</f>
        <v>РН-122</v>
      </c>
      <c r="B128" s="89">
        <f ca="1">IFERROR(
  VLOOKUP(A128, '1C'!B:D, 3, 0),)</f>
        <v>745</v>
      </c>
      <c r="C128" s="89">
        <f ca="1">IFERROR(
  VLOOKUP(A128, '1C'!B:Y, 24, 0),)</f>
        <v>745</v>
      </c>
      <c r="D128" s="80" t="str">
        <f ca="1">IFERROR(
  VLOOKUP(A128, '1C'!B:J, 9, 0),)</f>
        <v>В розетку, індикація, кнопкове управління</v>
      </c>
      <c r="E128" s="81" t="str">
        <f ca="1">IFERROR(
  VLOOKUP(A128, '1C'!B:Q, 15, 0),)</f>
        <v>вилка-розетка</v>
      </c>
      <c r="F128" s="82" t="str">
        <f ca="1">IFERROR(
  VLOOKUP(A128, '1C'!B:S, 18, 0),)</f>
        <v>-</v>
      </c>
      <c r="G128" s="83" t="str">
        <f ca="1">IFERROR(
  VLOOKUP(A128, '1C'!B:U, 19, 0),)</f>
        <v>16А</v>
      </c>
      <c r="H128" s="81" t="str">
        <f ca="1">IFERROR(
  VLOOKUP(A128, '1C'!B:G, 6, 0),)</f>
        <v>NTRN12200</v>
      </c>
      <c r="I128" s="90">
        <f ca="1">IFERROR( VLOOKUP(A128, '1C'!B:I, 8, 0),)</f>
        <v>4820122950207</v>
      </c>
      <c r="J128" s="91" t="str">
        <f ca="1">IFERROR(
  VLOOKUP(A128, '1C'!B:H, 7, 0),)</f>
        <v>8536 49 00 90</v>
      </c>
      <c r="K128" s="86"/>
      <c r="L128" s="92"/>
    </row>
    <row r="129" spans="1:12" ht="14.4">
      <c r="A129" s="88" t="str">
        <f ca="1">IFERROR(__xludf.DUMMYFUNCTION("iferror(IFERROR(
HYPERLINK(
  VLOOKUP(
    INDEX(UNIQUE(FLATTEN({'1C'!$A$2:A200,'1C'!$B$2:B200})), ROW(A127)), 
    '1C'!B:O, 12, 0),
  INDEX(UNIQUE(FLATTEN({'1C'!$A$2:A200,'1C'!$B$2:B200})), ROW(A127))),
MATCH(INDEX(UNIQUE(FLATTEN({'1C'!$A$2:A200,'1C'!$B"&amp;"$2:B200})), ROW(A127)), L$3:L200, 0)
),)"),"РН-116")</f>
        <v>РН-116</v>
      </c>
      <c r="B129" s="89">
        <f ca="1">IFERROR(
  VLOOKUP(A129, '1C'!B:D, 3, 0),)</f>
        <v>650</v>
      </c>
      <c r="C129" s="89">
        <f ca="1">IFERROR(
  VLOOKUP(A129, '1C'!B:Y, 24, 0),)</f>
        <v>650</v>
      </c>
      <c r="D129" s="80" t="str">
        <f ca="1">IFERROR(
  VLOOKUP(A129, '1C'!B:J, 9, 0),)</f>
        <v>В розетку, індикація, потенціометри</v>
      </c>
      <c r="E129" s="81" t="str">
        <f ca="1">IFERROR(
  VLOOKUP(A129, '1C'!B:Q, 15, 0),)</f>
        <v>вилка-розетка</v>
      </c>
      <c r="F129" s="82" t="str">
        <f ca="1">IFERROR(
  VLOOKUP(A129, '1C'!B:S, 18, 0),)</f>
        <v>-</v>
      </c>
      <c r="G129" s="83" t="str">
        <f ca="1">IFERROR(
  VLOOKUP(A129, '1C'!B:U, 19, 0),)</f>
        <v>16А</v>
      </c>
      <c r="H129" s="81" t="str">
        <f ca="1">IFERROR(
  VLOOKUP(A129, '1C'!B:G, 6, 0),)</f>
        <v>NTRN11600</v>
      </c>
      <c r="I129" s="90">
        <f ca="1">IFERROR( VLOOKUP(A129, '1C'!B:I, 8, 0),)</f>
        <v>4820122950047</v>
      </c>
      <c r="J129" s="91" t="str">
        <f ca="1">IFERROR(
  VLOOKUP(A129, '1C'!B:H, 7, 0),)</f>
        <v>8536 49 00 90</v>
      </c>
      <c r="K129" s="86"/>
      <c r="L129" s="92"/>
    </row>
    <row r="130" spans="1:12" ht="14.4">
      <c r="A130" s="88" t="str">
        <f ca="1">IFERROR(__xludf.DUMMYFUNCTION("iferror(IFERROR(
HYPERLINK(
  VLOOKUP(
    INDEX(UNIQUE(FLATTEN({'1C'!$A$2:A200,'1C'!$B$2:B200})), ROW(A128)), 
    '1C'!B:O, 12, 0),
  INDEX(UNIQUE(FLATTEN({'1C'!$A$2:A200,'1C'!$B$2:B200})), ROW(A128))),
MATCH(INDEX(UNIQUE(FLATTEN({'1C'!$A$2:A200,'1C'!$B"&amp;"$2:B200})), ROW(A128)), L$3:L200, 0)
),)"),"VC-115")</f>
        <v>VC-115</v>
      </c>
      <c r="B130" s="89">
        <f ca="1">IFERROR(
  VLOOKUP(A130, '1C'!B:D, 3, 0),)</f>
        <v>650</v>
      </c>
      <c r="C130" s="89">
        <f ca="1">IFERROR(
  VLOOKUP(A130, '1C'!B:Y, 24, 0),)</f>
        <v>650</v>
      </c>
      <c r="D130" s="80" t="str">
        <f ca="1">IFERROR(
  VLOOKUP(A130, '1C'!B:J, 9, 0),)</f>
        <v>В розетку, індикація, потенціометри</v>
      </c>
      <c r="E130" s="81" t="str">
        <f ca="1">IFERROR(
  VLOOKUP(A130, '1C'!B:Q, 15, 0),)</f>
        <v>вилка-розетка</v>
      </c>
      <c r="F130" s="82" t="str">
        <f ca="1">IFERROR(
  VLOOKUP(A130, '1C'!B:S, 18, 0),)</f>
        <v>-</v>
      </c>
      <c r="G130" s="83" t="str">
        <f ca="1">IFERROR(
  VLOOKUP(A130, '1C'!B:U, 19, 0),)</f>
        <v>16А</v>
      </c>
      <c r="H130" s="81" t="str">
        <f ca="1">IFERROR(
  VLOOKUP(A130, '1C'!B:G, 6, 0),)</f>
        <v>NTRN115VC</v>
      </c>
      <c r="I130" s="90">
        <f ca="1">IFERROR( VLOOKUP(A130, '1C'!B:I, 8, 0),)</f>
        <v>4820122950177</v>
      </c>
      <c r="J130" s="91" t="str">
        <f ca="1">IFERROR(
  VLOOKUP(A130, '1C'!B:H, 7, 0),)</f>
        <v>8536 49 00 90</v>
      </c>
      <c r="K130" s="86"/>
      <c r="L130" s="92"/>
    </row>
    <row r="131" spans="1:12" ht="14.4">
      <c r="A131" s="88" t="str">
        <f ca="1">IFERROR(__xludf.DUMMYFUNCTION("iferror(IFERROR(
HYPERLINK(
  VLOOKUP(
    INDEX(UNIQUE(FLATTEN({'1C'!$A$2:A200,'1C'!$B$2:B200})), ROW(A129)), 
    '1C'!B:O, 12, 0),
  INDEX(UNIQUE(FLATTEN({'1C'!$A$2:A200,'1C'!$B$2:B200})), ROW(A129))),
MATCH(INDEX(UNIQUE(FLATTEN({'1C'!$A$2:A200,'1C'!$B"&amp;"$2:B200})), ROW(A129)), L$3:L200, 0)
),)"),"РН-117")</f>
        <v>РН-117</v>
      </c>
      <c r="B131" s="89">
        <f ca="1">IFERROR(
  VLOOKUP(A131, '1C'!B:D, 3, 0),)</f>
        <v>600</v>
      </c>
      <c r="C131" s="89">
        <f ca="1">IFERROR(
  VLOOKUP(A131, '1C'!B:Y, 24, 0),)</f>
        <v>600</v>
      </c>
      <c r="D131" s="80" t="str">
        <f ca="1">IFERROR(
  VLOOKUP(A131, '1C'!B:J, 9, 0),)</f>
        <v>Вбудовані налаштування</v>
      </c>
      <c r="E131" s="81" t="str">
        <f ca="1">IFERROR(
  VLOOKUP(A131, '1C'!B:Q, 15, 0),)</f>
        <v>вилка-розетка</v>
      </c>
      <c r="F131" s="82" t="str">
        <f ca="1">IFERROR(
  VLOOKUP(A131, '1C'!B:S, 18, 0),)</f>
        <v>-</v>
      </c>
      <c r="G131" s="83" t="str">
        <f ca="1">IFERROR(
  VLOOKUP(A131, '1C'!B:U, 19, 0),)</f>
        <v>16А</v>
      </c>
      <c r="H131" s="81" t="str">
        <f ca="1">IFERROR(
  VLOOKUP(A131, '1C'!B:G, 6, 0),)</f>
        <v>NTRN11700</v>
      </c>
      <c r="I131" s="90">
        <f ca="1">IFERROR( VLOOKUP(A131, '1C'!B:I, 8, 0),)</f>
        <v>4820122950030</v>
      </c>
      <c r="J131" s="91" t="str">
        <f ca="1">IFERROR(
  VLOOKUP(A131, '1C'!B:H, 7, 0),)</f>
        <v>8536 49 00 90</v>
      </c>
      <c r="K131" s="86"/>
      <c r="L131" s="92"/>
    </row>
    <row r="132" spans="1:12" ht="26.4">
      <c r="A132" s="88" t="str">
        <f ca="1">IFERROR(__xludf.DUMMYFUNCTION("iferror(IFERROR(
HYPERLINK(
  VLOOKUP(
    INDEX(UNIQUE(FLATTEN({'1C'!$A$2:A200,'1C'!$B$2:B200})), ROW(A130)), 
    '1C'!B:O, 12, 0),
  INDEX(UNIQUE(FLATTEN({'1C'!$A$2:A200,'1C'!$B$2:B200})), ROW(A130))),
MATCH(INDEX(UNIQUE(FLATTEN({'1C'!$A$2:A200,'1C'!$B"&amp;"$2:B200})), ROW(A130)), L$3:L200, 0)
),)"),"ЕМ-125")</f>
        <v>ЕМ-125</v>
      </c>
      <c r="B132" s="89">
        <f ca="1">IFERROR(
  VLOOKUP(A132, '1C'!B:D, 3, 0),)</f>
        <v>2530</v>
      </c>
      <c r="C132" s="89">
        <f ca="1">IFERROR(
  VLOOKUP(A132, '1C'!B:Y, 24, 0),)</f>
        <v>2530</v>
      </c>
      <c r="D132" s="80" t="str">
        <f ca="1">IFERROR(
  VLOOKUP(A132, '1C'!B:J, 9, 0),)</f>
        <v>Wi-Fi багатофункціональний таймер з реле напруги, обмеженням потужності і струму</v>
      </c>
      <c r="E132" s="81" t="str">
        <f ca="1">IFERROR(
  VLOOKUP(A132, '1C'!B:Q, 15, 0),)</f>
        <v>вилка-розетка</v>
      </c>
      <c r="F132" s="82" t="str">
        <f ca="1">IFERROR(
  VLOOKUP(A132, '1C'!B:S, 18, 0),)</f>
        <v>-</v>
      </c>
      <c r="G132" s="83" t="str">
        <f ca="1">IFERROR(
  VLOOKUP(A132, '1C'!B:U, 19, 0),)</f>
        <v>16А</v>
      </c>
      <c r="H132" s="81" t="str">
        <f ca="1">IFERROR(
  VLOOKUP(A132, '1C'!B:G, 6, 0),)</f>
        <v>NTRN125S0</v>
      </c>
      <c r="I132" s="90">
        <f ca="1">IFERROR( VLOOKUP(A132, '1C'!B:I, 8, 0),)</f>
        <v>4820122950283</v>
      </c>
      <c r="J132" s="91" t="str">
        <f ca="1">IFERROR(
  VLOOKUP(A132, '1C'!B:H, 7, 0),)</f>
        <v>8536 49 00 90</v>
      </c>
      <c r="K132" s="86"/>
      <c r="L132" s="92"/>
    </row>
    <row r="133" spans="1:12" ht="26.4">
      <c r="A133" s="88" t="str">
        <f ca="1">IFERROR(__xludf.DUMMYFUNCTION("iferror(IFERROR(
HYPERLINK(
  VLOOKUP(
    INDEX(UNIQUE(FLATTEN({'1C'!$A$2:A200,'1C'!$B$2:B200})), ROW(A131)), 
    '1C'!B:O, 12, 0),
  INDEX(UNIQUE(FLATTEN({'1C'!$A$2:A200,'1C'!$B$2:B200})), ROW(A131))),
MATCH(INDEX(UNIQUE(FLATTEN({'1C'!$A$2:A200,'1C'!$B"&amp;"$2:B200})), ROW(A131)), L$3:L200, 0)
),)"),"ЕМ-126Т-1")</f>
        <v>ЕМ-126Т-1</v>
      </c>
      <c r="B133" s="89">
        <f ca="1">IFERROR(
  VLOOKUP(A133, '1C'!B:D, 3, 0),)</f>
        <v>2575</v>
      </c>
      <c r="C133" s="89">
        <f ca="1">IFERROR(
  VLOOKUP(A133, '1C'!B:Y, 24, 0),)</f>
        <v>2575</v>
      </c>
      <c r="D133" s="80" t="str">
        <f ca="1">IFERROR(
  VLOOKUP(A133, '1C'!B:J, 9, 0),)</f>
        <v>Wi-Fi багатофункціональний таймер з реле, обмеженням потужності і струму та датчиком температури 10см</v>
      </c>
      <c r="E133" s="81" t="str">
        <f ca="1">IFERROR(
  VLOOKUP(A133, '1C'!B:Q, 15, 0),)</f>
        <v>вилка-розетка</v>
      </c>
      <c r="F133" s="82" t="str">
        <f ca="1">IFERROR(
  VLOOKUP(A133, '1C'!B:S, 18, 0),)</f>
        <v>-</v>
      </c>
      <c r="G133" s="83" t="str">
        <f ca="1">IFERROR(
  VLOOKUP(A133, '1C'!B:U, 19, 0),)</f>
        <v>16А</v>
      </c>
      <c r="H133" s="81" t="str">
        <f ca="1">IFERROR(
  VLOOKUP(A133, '1C'!B:G, 6, 0),)</f>
        <v>NTRN126S1</v>
      </c>
      <c r="I133" s="90">
        <f ca="1">IFERROR( VLOOKUP(A133, '1C'!B:I, 8, 0),)</f>
        <v>4820122950290</v>
      </c>
      <c r="J133" s="91" t="str">
        <f ca="1">IFERROR(
  VLOOKUP(A133, '1C'!B:H, 7, 0),)</f>
        <v>8536 49 00 90</v>
      </c>
      <c r="K133" s="86"/>
      <c r="L133" s="92"/>
    </row>
    <row r="134" spans="1:12" ht="26.4">
      <c r="A134" s="88" t="str">
        <f ca="1">IFERROR(__xludf.DUMMYFUNCTION("iferror(IFERROR(
HYPERLINK(
  VLOOKUP(
    INDEX(UNIQUE(FLATTEN({'1C'!$A$2:A200,'1C'!$B$2:B200})), ROW(A132)), 
    '1C'!B:O, 12, 0),
  INDEX(UNIQUE(FLATTEN({'1C'!$A$2:A200,'1C'!$B$2:B200})), ROW(A132))),
MATCH(INDEX(UNIQUE(FLATTEN({'1C'!$A$2:A200,'1C'!$B"&amp;"$2:B200})), ROW(A132)), L$3:L200, 0)
),)"),"ЕМ-126Т-2")</f>
        <v>ЕМ-126Т-2</v>
      </c>
      <c r="B134" s="89">
        <f ca="1">IFERROR(
  VLOOKUP(A134, '1C'!B:D, 3, 0),)</f>
        <v>2575</v>
      </c>
      <c r="C134" s="89">
        <f ca="1">IFERROR(
  VLOOKUP(A134, '1C'!B:Y, 24, 0),)</f>
        <v>2575</v>
      </c>
      <c r="D134" s="80" t="str">
        <f ca="1">IFERROR(
  VLOOKUP(A134, '1C'!B:J, 9, 0),)</f>
        <v>Wi-Fi багатофункціональний таймер з реле, обмеженням потужності і струму та датчиком температури 1,8 м</v>
      </c>
      <c r="E134" s="81" t="str">
        <f ca="1">IFERROR(
  VLOOKUP(A134, '1C'!B:Q, 15, 0),)</f>
        <v>вилка-розетка</v>
      </c>
      <c r="F134" s="82" t="str">
        <f ca="1">IFERROR(
  VLOOKUP(A134, '1C'!B:S, 18, 0),)</f>
        <v>-</v>
      </c>
      <c r="G134" s="83" t="str">
        <f ca="1">IFERROR(
  VLOOKUP(A134, '1C'!B:U, 19, 0),)</f>
        <v>16А</v>
      </c>
      <c r="H134" s="81" t="str">
        <f ca="1">IFERROR(
  VLOOKUP(A134, '1C'!B:G, 6, 0),)</f>
        <v>NTRN126S2</v>
      </c>
      <c r="I134" s="90">
        <f ca="1">IFERROR( VLOOKUP(A134, '1C'!B:I, 8, 0),)</f>
        <v>4820122950306</v>
      </c>
      <c r="J134" s="91" t="str">
        <f ca="1">IFERROR(
  VLOOKUP(A134, '1C'!B:H, 7, 0),)</f>
        <v>8536 49 00 90</v>
      </c>
      <c r="K134" s="86"/>
      <c r="L134" s="92"/>
    </row>
    <row r="135" spans="1:12" ht="14.4">
      <c r="A135" s="93" t="str">
        <f ca="1">IFERROR(__xludf.DUMMYFUNCTION("iferror(IFERROR(
HYPERLINK(
  VLOOKUP(
    INDEX(UNIQUE(FLATTEN({'1C'!$A$2:A200,'1C'!$B$2:B200})), ROW(A133)), 
    '1C'!B:O, 12, 0),
  INDEX(UNIQUE(FLATTEN({'1C'!$A$2:A200,'1C'!$B$2:B200})), ROW(A133))),
MATCH(INDEX(UNIQUE(FLATTEN({'1C'!$A$2:A200,'1C'!$B"&amp;"$2:B200})), ROW(A133)), L$3:L200, 0)
),)"),"ОДНОФАЗНІ РЕЛЕ НАПРУГИ (DIN-РЕЙКА)")</f>
        <v>ОДНОФАЗНІ РЕЛЕ НАПРУГИ (DIN-РЕЙКА)</v>
      </c>
      <c r="B135" s="89">
        <f ca="1">IFERROR(
  VLOOKUP(A135, '1C'!B:D, 3, 0),)</f>
        <v>0</v>
      </c>
      <c r="C135" s="89"/>
      <c r="D135" s="80">
        <f ca="1">IFERROR(
  VLOOKUP(A135, '1C'!B:J, 9, 0),)</f>
        <v>0</v>
      </c>
      <c r="E135" s="81">
        <f ca="1">IFERROR(
  VLOOKUP(A135, '1C'!B:Q, 15, 0),)</f>
        <v>0</v>
      </c>
      <c r="F135" s="82">
        <f ca="1">IFERROR(
  VLOOKUP(A135, '1C'!B:S, 18, 0),)</f>
        <v>0</v>
      </c>
      <c r="G135" s="83">
        <f ca="1">IFERROR(
  VLOOKUP(A135, '1C'!B:U, 19, 0),)</f>
        <v>0</v>
      </c>
      <c r="H135" s="81">
        <f ca="1">IFERROR(
  VLOOKUP(A135, '1C'!B:G, 6, 0),)</f>
        <v>0</v>
      </c>
      <c r="I135" s="90">
        <f ca="1">IFERROR( VLOOKUP(A135, '1C'!B:I, 8, 0),)</f>
        <v>0</v>
      </c>
      <c r="J135" s="91">
        <f ca="1">IFERROR(
  VLOOKUP(A135, '1C'!B:H, 7, 0),)</f>
        <v>0</v>
      </c>
      <c r="K135" s="86"/>
      <c r="L135" s="92"/>
    </row>
    <row r="136" spans="1:12" ht="14.4">
      <c r="A136" s="88" t="str">
        <f ca="1">IFERROR(__xludf.DUMMYFUNCTION("iferror(IFERROR(
HYPERLINK(
  VLOOKUP(
    INDEX(UNIQUE(FLATTEN({'1C'!$A$2:A200,'1C'!$B$2:B200})), ROW(A134)), 
    '1C'!B:O, 12, 0),
  INDEX(UNIQUE(FLATTEN({'1C'!$A$2:A200,'1C'!$B$2:B200})), ROW(A134))),
MATCH(INDEX(UNIQUE(FLATTEN({'1C'!$A$2:A200,'1C'!$B"&amp;"$2:B200})), ROW(A134)), L$3:L200, 0)
),)"),"РН-102")</f>
        <v>РН-102</v>
      </c>
      <c r="B136" s="89">
        <f ca="1">IFERROR(
  VLOOKUP(A136, '1C'!B:D, 3, 0),)</f>
        <v>1150</v>
      </c>
      <c r="C136" s="89">
        <f ca="1">IFERROR(
  VLOOKUP(A136, '1C'!B:Y, 24, 0),)</f>
        <v>1150</v>
      </c>
      <c r="D136" s="80" t="str">
        <f ca="1">IFERROR(
  VLOOKUP(A136, '1C'!B:J, 9, 0),)</f>
        <v>Настінне виконання</v>
      </c>
      <c r="E136" s="81" t="str">
        <f ca="1">IFERROR(
  VLOOKUP(A136, '1C'!B:Q, 15, 0),)</f>
        <v>Настінний</v>
      </c>
      <c r="F136" s="82" t="str">
        <f ca="1">IFERROR(
  VLOOKUP(A136, '1C'!B:S, 18, 0),)</f>
        <v>-</v>
      </c>
      <c r="G136" s="83" t="str">
        <f ca="1">IFERROR(
  VLOOKUP(A136, '1C'!B:U, 19, 0),)</f>
        <v>32А</v>
      </c>
      <c r="H136" s="81" t="str">
        <f ca="1">IFERROR(
  VLOOKUP(A136, '1C'!B:G, 6, 0),)</f>
        <v>NTRN10200</v>
      </c>
      <c r="I136" s="90" t="str">
        <f ca="1">IFERROR( VLOOKUP(A136, '1C'!B:I, 8, 0),)</f>
        <v>-</v>
      </c>
      <c r="J136" s="91" t="str">
        <f ca="1">IFERROR(
  VLOOKUP(A136, '1C'!B:H, 7, 0),)</f>
        <v>8536 49 00 90</v>
      </c>
      <c r="K136" s="86"/>
      <c r="L136" s="92"/>
    </row>
    <row r="137" spans="1:12" ht="14.4">
      <c r="A137" s="88" t="str">
        <f ca="1">IFERROR(__xludf.DUMMYFUNCTION("iferror(IFERROR(
HYPERLINK(
  VLOOKUP(
    INDEX(UNIQUE(FLATTEN({'1C'!$A$2:A200,'1C'!$B$2:B200})), ROW(A135)), 
    '1C'!B:O, 12, 0),
  INDEX(UNIQUE(FLATTEN({'1C'!$A$2:A200,'1C'!$B$2:B200})), ROW(A135))),
MATCH(INDEX(UNIQUE(FLATTEN({'1C'!$A$2:A200,'1C'!$B"&amp;"$2:B200})), ROW(A135)), L$3:L200, 0)
),)"),"РН-11")</f>
        <v>РН-11</v>
      </c>
      <c r="B137" s="89">
        <f ca="1">IFERROR(
  VLOOKUP(A137, '1C'!B:D, 3, 0),)</f>
        <v>615</v>
      </c>
      <c r="C137" s="89">
        <f ca="1">IFERROR(
  VLOOKUP(A137, '1C'!B:Y, 24, 0),)</f>
        <v>615</v>
      </c>
      <c r="D137" s="80" t="str">
        <f ca="1">IFERROR(
  VLOOKUP(A137, '1C'!B:J, 9, 0),)</f>
        <v>220В Цифровий вольтметр</v>
      </c>
      <c r="E137" s="81" t="str">
        <f ca="1">IFERROR(
  VLOOKUP(A137, '1C'!B:Q, 15, 0),)</f>
        <v>DIN</v>
      </c>
      <c r="F137" s="82">
        <f ca="1">IFERROR(
  VLOOKUP(A137, '1C'!B:S, 18, 0),)</f>
        <v>2</v>
      </c>
      <c r="G137" s="83" t="str">
        <f ca="1">IFERROR(
  VLOOKUP(A137, '1C'!B:U, 19, 0),)</f>
        <v>-</v>
      </c>
      <c r="H137" s="81" t="str">
        <f ca="1">IFERROR(
  VLOOKUP(A137, '1C'!B:G, 6, 0),)</f>
        <v>NTRN11000</v>
      </c>
      <c r="I137" s="90">
        <f ca="1">IFERROR( VLOOKUP(A137, '1C'!B:I, 8, 0),)</f>
        <v>0</v>
      </c>
      <c r="J137" s="91" t="str">
        <f ca="1">IFERROR(
  VLOOKUP(A137, '1C'!B:H, 7, 0),)</f>
        <v>8536 49 00 90</v>
      </c>
      <c r="K137" s="86"/>
      <c r="L137" s="92"/>
    </row>
    <row r="138" spans="1:12" ht="14.4">
      <c r="A138" s="88" t="str">
        <f ca="1">IFERROR(__xludf.DUMMYFUNCTION("iferror(IFERROR(
HYPERLINK(
  VLOOKUP(
    INDEX(UNIQUE(FLATTEN({'1C'!$A$2:A200,'1C'!$B$2:B200})), ROW(A136)), 
    '1C'!B:O, 12, 0),
  INDEX(UNIQUE(FLATTEN({'1C'!$A$2:A200,'1C'!$B$2:B200})), ROW(A136))),
MATCH(INDEX(UNIQUE(FLATTEN({'1C'!$A$2:A200,'1C'!$B"&amp;"$2:B200})), ROW(A136)), L$3:L200, 0)
),)"),"РН-111М")</f>
        <v>РН-111М</v>
      </c>
      <c r="B138" s="89">
        <f ca="1">IFERROR(
  VLOOKUP(A138, '1C'!B:D, 3, 0),)</f>
        <v>1150</v>
      </c>
      <c r="C138" s="89">
        <f ca="1">IFERROR(
  VLOOKUP(A138, '1C'!B:Y, 24, 0),)</f>
        <v>1150</v>
      </c>
      <c r="D138" s="80" t="str">
        <f ca="1">IFERROR(
  VLOOKUP(A138, '1C'!B:J, 9, 0),)</f>
        <v>Відключення контролю Uмін і Uмакс</v>
      </c>
      <c r="E138" s="81" t="str">
        <f ca="1">IFERROR(
  VLOOKUP(A138, '1C'!B:Q, 15, 0),)</f>
        <v>DIN</v>
      </c>
      <c r="F138" s="82">
        <f ca="1">IFERROR(
  VLOOKUP(A138, '1C'!B:S, 18, 0),)</f>
        <v>2</v>
      </c>
      <c r="G138" s="83" t="str">
        <f ca="1">IFERROR(
  VLOOKUP(A138, '1C'!B:U, 19, 0),)</f>
        <v>16А</v>
      </c>
      <c r="H138" s="81" t="str">
        <f ca="1">IFERROR(
  VLOOKUP(A138, '1C'!B:G, 6, 0),)</f>
        <v>NTRN111M0</v>
      </c>
      <c r="I138" s="90">
        <f ca="1">IFERROR( VLOOKUP(A138, '1C'!B:I, 8, 0),)</f>
        <v>0</v>
      </c>
      <c r="J138" s="91" t="str">
        <f ca="1">IFERROR(
  VLOOKUP(A138, '1C'!B:H, 7, 0),)</f>
        <v>8536 49 00 90</v>
      </c>
      <c r="K138" s="86"/>
      <c r="L138" s="92"/>
    </row>
    <row r="139" spans="1:12" ht="14.4">
      <c r="A139" s="88" t="str">
        <f ca="1">IFERROR(__xludf.DUMMYFUNCTION("iferror(IFERROR(
HYPERLINK(
  VLOOKUP(
    INDEX(UNIQUE(FLATTEN({'1C'!$A$2:A200,'1C'!$B$2:B200})), ROW(A137)), 
    '1C'!B:O, 12, 0),
  INDEX(UNIQUE(FLATTEN({'1C'!$A$2:A200,'1C'!$B$2:B200})), ROW(A137))),
MATCH(INDEX(UNIQUE(FLATTEN({'1C'!$A$2:A200,'1C'!$B"&amp;"$2:B200})), ROW(A137)), L$3:L200, 0)
),)"),"РН-118")</f>
        <v>РН-118</v>
      </c>
      <c r="B139" s="89">
        <f ca="1">IFERROR(
  VLOOKUP(A139, '1C'!B:D, 3, 0),)</f>
        <v>925</v>
      </c>
      <c r="C139" s="89">
        <f ca="1">IFERROR(
  VLOOKUP(A139, '1C'!B:Y, 24, 0),)</f>
        <v>925</v>
      </c>
      <c r="D139" s="80" t="str">
        <f ca="1">IFERROR(
  VLOOKUP(A139, '1C'!B:J, 9, 0),)</f>
        <v>Управління кнопками, фіксація напруги при відключенні</v>
      </c>
      <c r="E139" s="81" t="str">
        <f ca="1">IFERROR(
  VLOOKUP(A139, '1C'!B:Q, 15, 0),)</f>
        <v>DIN</v>
      </c>
      <c r="F139" s="82">
        <f ca="1">IFERROR(
  VLOOKUP(A139, '1C'!B:S, 18, 0),)</f>
        <v>1</v>
      </c>
      <c r="G139" s="83" t="str">
        <f ca="1">IFERROR(
  VLOOKUP(A139, '1C'!B:U, 19, 0),)</f>
        <v>10А</v>
      </c>
      <c r="H139" s="81" t="str">
        <f ca="1">IFERROR(
  VLOOKUP(A139, '1C'!B:G, 6, 0),)</f>
        <v>NTRN11800</v>
      </c>
      <c r="I139" s="90">
        <f ca="1">IFERROR( VLOOKUP(A139, '1C'!B:I, 8, 0),)</f>
        <v>4820122950214</v>
      </c>
      <c r="J139" s="91" t="str">
        <f ca="1">IFERROR(
  VLOOKUP(A139, '1C'!B:H, 7, 0),)</f>
        <v>8536 49 00 90</v>
      </c>
      <c r="K139" s="86"/>
      <c r="L139" s="92"/>
    </row>
    <row r="140" spans="1:12" ht="14.4">
      <c r="A140" s="88" t="str">
        <f ca="1">IFERROR(__xludf.DUMMYFUNCTION("iferror(IFERROR(
HYPERLINK(
  VLOOKUP(
    INDEX(UNIQUE(FLATTEN({'1C'!$A$2:A200,'1C'!$B$2:B200})), ROW(A138)), 
    '1C'!B:O, 12, 0),
  INDEX(UNIQUE(FLATTEN({'1C'!$A$2:A200,'1C'!$B$2:B200})), ROW(A138))),
MATCH(INDEX(UNIQUE(FLATTEN({'1C'!$A$2:A200,'1C'!$B"&amp;"$2:B200})), ROW(A138)), L$3:L200, 0)
),)"),"РН-119")</f>
        <v>РН-119</v>
      </c>
      <c r="B140" s="89">
        <f ca="1">IFERROR(
  VLOOKUP(A140, '1C'!B:D, 3, 0),)</f>
        <v>1010</v>
      </c>
      <c r="C140" s="89">
        <f ca="1">IFERROR(
  VLOOKUP(A140, '1C'!B:Y, 24, 0),)</f>
        <v>1010</v>
      </c>
      <c r="D140" s="80" t="str">
        <f ca="1">IFERROR(
  VLOOKUP(A140, '1C'!B:J, 9, 0),)</f>
        <v>Управління кнопками, фіксація напруги при відключенні</v>
      </c>
      <c r="E140" s="81" t="str">
        <f ca="1">IFERROR(
  VLOOKUP(A140, '1C'!B:Q, 15, 0),)</f>
        <v>DIN</v>
      </c>
      <c r="F140" s="82">
        <f ca="1">IFERROR(
  VLOOKUP(A140, '1C'!B:S, 18, 0),)</f>
        <v>1</v>
      </c>
      <c r="G140" s="83" t="str">
        <f ca="1">IFERROR(
  VLOOKUP(A140, '1C'!B:U, 19, 0),)</f>
        <v>16А</v>
      </c>
      <c r="H140" s="81" t="str">
        <f ca="1">IFERROR(
  VLOOKUP(A140, '1C'!B:G, 6, 0),)</f>
        <v>NTRN11900</v>
      </c>
      <c r="I140" s="90">
        <f ca="1">IFERROR( VLOOKUP(A140, '1C'!B:I, 8, 0),)</f>
        <v>4820122950221</v>
      </c>
      <c r="J140" s="91" t="str">
        <f ca="1">IFERROR(
  VLOOKUP(A140, '1C'!B:H, 7, 0),)</f>
        <v>8536 49 00 90</v>
      </c>
      <c r="K140" s="86"/>
      <c r="L140" s="92"/>
    </row>
    <row r="141" spans="1:12" ht="14.4">
      <c r="A141" s="88" t="str">
        <f ca="1">IFERROR(__xludf.DUMMYFUNCTION("iferror(IFERROR(
HYPERLINK(
  VLOOKUP(
    INDEX(UNIQUE(FLATTEN({'1C'!$A$2:A200,'1C'!$B$2:B200})), ROW(A139)), 
    '1C'!B:O, 12, 0),
  INDEX(UNIQUE(FLATTEN({'1C'!$A$2:A200,'1C'!$B$2:B200})), ROW(A139))),
MATCH(INDEX(UNIQUE(FLATTEN({'1C'!$A$2:A200,'1C'!$B"&amp;"$2:B200})), ROW(A139)), L$3:L200, 0)
),)"),"РН-113")</f>
        <v>РН-113</v>
      </c>
      <c r="B141" s="89" t="str">
        <f ca="1">IFERROR(
  VLOOKUP(A141, '1C'!B:D, 3, 0),)</f>
        <v>знятий з виробн.</v>
      </c>
      <c r="C141" s="89" t="str">
        <f ca="1">IFERROR(
  VLOOKUP(A141, '1C'!B:Y, 24, 0),)</f>
        <v>знятий з виробн.</v>
      </c>
      <c r="D141" s="80" t="str">
        <f ca="1">IFERROR(
  VLOOKUP(A141, '1C'!B:J, 9, 0),)</f>
        <v>Відключення контролю Uмін і Uмакс</v>
      </c>
      <c r="E141" s="81" t="str">
        <f ca="1">IFERROR(
  VLOOKUP(A141, '1C'!B:Q, 15, 0),)</f>
        <v>DIN</v>
      </c>
      <c r="F141" s="82">
        <f ca="1">IFERROR(
  VLOOKUP(A141, '1C'!B:S, 18, 0),)</f>
        <v>4</v>
      </c>
      <c r="G141" s="83" t="str">
        <f ca="1">IFERROR(
  VLOOKUP(A141, '1C'!B:U, 19, 0),)</f>
        <v>32А</v>
      </c>
      <c r="H141" s="81" t="str">
        <f ca="1">IFERROR(
  VLOOKUP(A141, '1C'!B:G, 6, 0),)</f>
        <v>NTRN11300</v>
      </c>
      <c r="I141" s="90" t="str">
        <f ca="1">IFERROR( VLOOKUP(A141, '1C'!B:I, 8, 0),)</f>
        <v>-</v>
      </c>
      <c r="J141" s="91" t="str">
        <f ca="1">IFERROR(
  VLOOKUP(A141, '1C'!B:H, 7, 0),)</f>
        <v>8536 49 00 90</v>
      </c>
      <c r="K141" s="86"/>
      <c r="L141" s="92"/>
    </row>
    <row r="142" spans="1:12" ht="14.4">
      <c r="A142" s="88" t="str">
        <f ca="1">IFERROR(__xludf.DUMMYFUNCTION("iferror(IFERROR(
HYPERLINK(
  VLOOKUP(
    INDEX(UNIQUE(FLATTEN({'1C'!$A$2:A200,'1C'!$B$2:B200})), ROW(A140)), 
    '1C'!B:O, 12, 0),
  INDEX(UNIQUE(FLATTEN({'1C'!$A$2:A200,'1C'!$B$2:B200})), ROW(A140))),
MATCH(INDEX(UNIQUE(FLATTEN({'1C'!$A$2:A200,'1C'!$B"&amp;"$2:B200})), ROW(A140)), L$3:L200, 0)
),)"),"РН-25t")</f>
        <v>РН-25t</v>
      </c>
      <c r="B142" s="89">
        <f ca="1">IFERROR(
  VLOOKUP(A142, '1C'!B:D, 3, 0),)</f>
        <v>920</v>
      </c>
      <c r="C142" s="89">
        <f ca="1">IFERROR(
  VLOOKUP(A142, '1C'!B:Y, 24, 0),)</f>
        <v>1015</v>
      </c>
      <c r="D142" s="80" t="str">
        <f ca="1">IFERROR(
  VLOOKUP(A142, '1C'!B:J, 9, 0),)</f>
        <v>Модернізоване, з термозахистом, клеми зверху і знизу, журнал аварій</v>
      </c>
      <c r="E142" s="81" t="str">
        <f ca="1">IFERROR(
  VLOOKUP(A142, '1C'!B:Q, 15, 0),)</f>
        <v>DIN</v>
      </c>
      <c r="F142" s="82">
        <f ca="1">IFERROR(
  VLOOKUP(A142, '1C'!B:S, 18, 0),)</f>
        <v>2</v>
      </c>
      <c r="G142" s="83" t="str">
        <f ca="1">IFERROR(
  VLOOKUP(A142, '1C'!B:U, 19, 0),)</f>
        <v>25А</v>
      </c>
      <c r="H142" s="81" t="str">
        <f ca="1">IFERROR(
  VLOOKUP(A142, '1C'!B:G, 6, 0),)</f>
        <v>NTRN02502</v>
      </c>
      <c r="I142" s="90">
        <f ca="1">IFERROR( VLOOKUP(A142, '1C'!B:I, 8, 0),)</f>
        <v>4820122950351</v>
      </c>
      <c r="J142" s="91" t="str">
        <f ca="1">IFERROR(
  VLOOKUP(A142, '1C'!B:H, 7, 0),)</f>
        <v>8536 49 00 90</v>
      </c>
      <c r="K142" s="86"/>
      <c r="L142" s="92"/>
    </row>
    <row r="143" spans="1:12" ht="14.4">
      <c r="A143" s="88" t="str">
        <f ca="1">IFERROR(__xludf.DUMMYFUNCTION("iferror(IFERROR(
HYPERLINK(
  VLOOKUP(
    INDEX(UNIQUE(FLATTEN({'1C'!$A$2:A200,'1C'!$B$2:B200})), ROW(A141)), 
    '1C'!B:O, 12, 0),
  INDEX(UNIQUE(FLATTEN({'1C'!$A$2:A200,'1C'!$B$2:B200})), ROW(A141))),
MATCH(INDEX(UNIQUE(FLATTEN({'1C'!$A$2:A200,'1C'!$B"&amp;"$2:B200})), ROW(A141)), L$3:L200, 0)
),)"),"РН-32t")</f>
        <v>РН-32t</v>
      </c>
      <c r="B143" s="89">
        <f ca="1">IFERROR(
  VLOOKUP(A143, '1C'!B:D, 3, 0),)</f>
        <v>1000</v>
      </c>
      <c r="C143" s="89">
        <f ca="1">IFERROR(
  VLOOKUP(A143, '1C'!B:Y, 24, 0),)</f>
        <v>1100</v>
      </c>
      <c r="D143" s="80" t="str">
        <f ca="1">IFERROR(
  VLOOKUP(A143, '1C'!B:J, 9, 0),)</f>
        <v>Модернізоване, з термозахистом, клеми зверху і знизу, журнал аварій</v>
      </c>
      <c r="E143" s="81" t="str">
        <f ca="1">IFERROR(
  VLOOKUP(A143, '1C'!B:Q, 15, 0),)</f>
        <v>DIN</v>
      </c>
      <c r="F143" s="82">
        <f ca="1">IFERROR(
  VLOOKUP(A143, '1C'!B:S, 18, 0),)</f>
        <v>2</v>
      </c>
      <c r="G143" s="83" t="str">
        <f ca="1">IFERROR(
  VLOOKUP(A143, '1C'!B:U, 19, 0),)</f>
        <v>32А</v>
      </c>
      <c r="H143" s="81" t="str">
        <f ca="1">IFERROR(
  VLOOKUP(A143, '1C'!B:G, 6, 0),)</f>
        <v>NTRN03202</v>
      </c>
      <c r="I143" s="90">
        <f ca="1">IFERROR( VLOOKUP(A143, '1C'!B:I, 8, 0),)</f>
        <v>4820122950368</v>
      </c>
      <c r="J143" s="91" t="str">
        <f ca="1">IFERROR(
  VLOOKUP(A143, '1C'!B:H, 7, 0),)</f>
        <v>8536 49 00 90</v>
      </c>
      <c r="K143" s="86"/>
      <c r="L143" s="92"/>
    </row>
    <row r="144" spans="1:12" ht="26.4">
      <c r="A144" s="88" t="str">
        <f ca="1">IFERROR(__xludf.DUMMYFUNCTION("iferror(IFERROR(
HYPERLINK(
  VLOOKUP(
    INDEX(UNIQUE(FLATTEN({'1C'!$A$2:A200,'1C'!$B$2:B200})), ROW(A142)), 
    '1C'!B:O, 12, 0),
  INDEX(UNIQUE(FLATTEN({'1C'!$A$2:A200,'1C'!$B$2:B200})), ROW(A142))),
MATCH(INDEX(UNIQUE(FLATTEN({'1C'!$A$2:A200,'1C'!$B"&amp;"$2:B200})), ROW(A142)), L$3:L200, 0)
),)"),"РН-40tc")</f>
        <v>РН-40tc</v>
      </c>
      <c r="B144" s="89">
        <f ca="1">IFERROR(
  VLOOKUP(A144, '1C'!B:D, 3, 0),)</f>
        <v>1135</v>
      </c>
      <c r="C144" s="89">
        <f ca="1">IFERROR(
  VLOOKUP(A144, '1C'!B:Y, 24, 0),)</f>
        <v>1250</v>
      </c>
      <c r="D144" s="80" t="str">
        <f ca="1">IFERROR(
  VLOOKUP(A144, '1C'!B:J, 9, 0),)</f>
        <v>Модернізоване, з термозахистом, клеми зверху і знизу, журнал аварій, термодатчики на кожній клемі</v>
      </c>
      <c r="E144" s="81" t="str">
        <f ca="1">IFERROR(
  VLOOKUP(A144, '1C'!B:Q, 15, 0),)</f>
        <v>DIN</v>
      </c>
      <c r="F144" s="82">
        <f ca="1">IFERROR(
  VLOOKUP(A144, '1C'!B:S, 18, 0),)</f>
        <v>2</v>
      </c>
      <c r="G144" s="83" t="str">
        <f ca="1">IFERROR(
  VLOOKUP(A144, '1C'!B:U, 19, 0),)</f>
        <v>40А</v>
      </c>
      <c r="H144" s="81" t="str">
        <f ca="1">IFERROR(
  VLOOKUP(A144, '1C'!B:G, 6, 0),)</f>
        <v>NTRN04002</v>
      </c>
      <c r="I144" s="90">
        <f ca="1">IFERROR( VLOOKUP(A144, '1C'!B:I, 8, 0),)</f>
        <v>4820122950375</v>
      </c>
      <c r="J144" s="91" t="str">
        <f ca="1">IFERROR(
  VLOOKUP(A144, '1C'!B:H, 7, 0),)</f>
        <v>8536 49 00 90</v>
      </c>
      <c r="K144" s="86"/>
      <c r="L144" s="92"/>
    </row>
    <row r="145" spans="1:12" ht="26.4">
      <c r="A145" s="88" t="str">
        <f ca="1">IFERROR(__xludf.DUMMYFUNCTION("iferror(IFERROR(
HYPERLINK(
  VLOOKUP(
    INDEX(UNIQUE(FLATTEN({'1C'!$A$2:A200,'1C'!$B$2:B200})), ROW(A143)), 
    '1C'!B:O, 12, 0),
  INDEX(UNIQUE(FLATTEN({'1C'!$A$2:A200,'1C'!$B$2:B200})), ROW(A143))),
MATCH(INDEX(UNIQUE(FLATTEN({'1C'!$A$2:A200,'1C'!$B"&amp;"$2:B200})), ROW(A143)), L$3:L200, 0)
),)"),"РН-50tc")</f>
        <v>РН-50tc</v>
      </c>
      <c r="B145" s="89">
        <f ca="1">IFERROR(
  VLOOKUP(A145, '1C'!B:D, 3, 0),)</f>
        <v>1220</v>
      </c>
      <c r="C145" s="89">
        <f ca="1">IFERROR(
  VLOOKUP(A145, '1C'!B:Y, 24, 0),)</f>
        <v>1345</v>
      </c>
      <c r="D145" s="80" t="str">
        <f ca="1">IFERROR(
  VLOOKUP(A145, '1C'!B:J, 9, 0),)</f>
        <v>Модернізоване, з термозахистом, клеми зверху і знизу, журнал аварій, термодатчики на кожній клемі</v>
      </c>
      <c r="E145" s="81" t="str">
        <f ca="1">IFERROR(
  VLOOKUP(A145, '1C'!B:Q, 15, 0),)</f>
        <v>DIN</v>
      </c>
      <c r="F145" s="82">
        <f ca="1">IFERROR(
  VLOOKUP(A145, '1C'!B:S, 18, 0),)</f>
        <v>2</v>
      </c>
      <c r="G145" s="83" t="str">
        <f ca="1">IFERROR(
  VLOOKUP(A145, '1C'!B:U, 19, 0),)</f>
        <v>50А</v>
      </c>
      <c r="H145" s="81" t="str">
        <f ca="1">IFERROR(
  VLOOKUP(A145, '1C'!B:G, 6, 0),)</f>
        <v>NTRN05002</v>
      </c>
      <c r="I145" s="90">
        <f ca="1">IFERROR( VLOOKUP(A145, '1C'!B:I, 8, 0),)</f>
        <v>4820122950382</v>
      </c>
      <c r="J145" s="91" t="str">
        <f ca="1">IFERROR(
  VLOOKUP(A145, '1C'!B:H, 7, 0),)</f>
        <v>8536 49 00 90</v>
      </c>
      <c r="K145" s="86"/>
      <c r="L145" s="92"/>
    </row>
    <row r="146" spans="1:12" ht="26.4">
      <c r="A146" s="88" t="str">
        <f ca="1">IFERROR(__xludf.DUMMYFUNCTION("iferror(IFERROR(
HYPERLINK(
  VLOOKUP(
    INDEX(UNIQUE(FLATTEN({'1C'!$A$2:A200,'1C'!$B$2:B200})), ROW(A144)), 
    '1C'!B:O, 12, 0),
  INDEX(UNIQUE(FLATTEN({'1C'!$A$2:A200,'1C'!$B$2:B200})), ROW(A144))),
MATCH(INDEX(UNIQUE(FLATTEN({'1C'!$A$2:A200,'1C'!$B"&amp;"$2:B200})), ROW(A144)), L$3:L200, 0)
),)"),"РН-63tc")</f>
        <v>РН-63tc</v>
      </c>
      <c r="B146" s="89">
        <f ca="1">IFERROR(
  VLOOKUP(A146, '1C'!B:D, 3, 0),)</f>
        <v>1320</v>
      </c>
      <c r="C146" s="89">
        <f ca="1">IFERROR(
  VLOOKUP(A146, '1C'!B:Y, 24, 0),)</f>
        <v>1455</v>
      </c>
      <c r="D146" s="80" t="str">
        <f ca="1">IFERROR(
  VLOOKUP(A146, '1C'!B:J, 9, 0),)</f>
        <v>Модернізоване, з термозахистом, клеми зверху і знизу, журнал аварій, термодатчики на кожній клемі</v>
      </c>
      <c r="E146" s="81" t="str">
        <f ca="1">IFERROR(
  VLOOKUP(A146, '1C'!B:Q, 15, 0),)</f>
        <v>DIN</v>
      </c>
      <c r="F146" s="82">
        <f ca="1">IFERROR(
  VLOOKUP(A146, '1C'!B:S, 18, 0),)</f>
        <v>2</v>
      </c>
      <c r="G146" s="83" t="str">
        <f ca="1">IFERROR(
  VLOOKUP(A146, '1C'!B:U, 19, 0),)</f>
        <v>63А</v>
      </c>
      <c r="H146" s="81" t="str">
        <f ca="1">IFERROR(
  VLOOKUP(A146, '1C'!B:G, 6, 0),)</f>
        <v>NTRN06302</v>
      </c>
      <c r="I146" s="90">
        <f ca="1">IFERROR( VLOOKUP(A146, '1C'!B:I, 8, 0),)</f>
        <v>4820122950399</v>
      </c>
      <c r="J146" s="91" t="str">
        <f ca="1">IFERROR(
  VLOOKUP(A146, '1C'!B:H, 7, 0),)</f>
        <v>8536 49 00 90</v>
      </c>
      <c r="K146" s="86"/>
      <c r="L146" s="92"/>
    </row>
    <row r="147" spans="1:12" ht="14.4">
      <c r="A147" s="93" t="str">
        <f ca="1">IFERROR(__xludf.DUMMYFUNCTION("iferror(IFERROR(
HYPERLINK(
  VLOOKUP(
    INDEX(UNIQUE(FLATTEN({'1C'!$A$2:A200,'1C'!$B$2:B200})), ROW(A145)), 
    '1C'!B:O, 12, 0),
  INDEX(UNIQUE(FLATTEN({'1C'!$A$2:A200,'1C'!$B$2:B200})), ROW(A145))),
MATCH(INDEX(UNIQUE(FLATTEN({'1C'!$A$2:A200,'1C'!$B"&amp;"$2:B200})), ROW(A145)), L$3:L200, 0)
),)"),"РН-104")</f>
        <v>РН-104</v>
      </c>
      <c r="B147" s="89" t="str">
        <f ca="1">IFERROR(
  VLOOKUP(A147, '1C'!B:D, 3, 0),)</f>
        <v>знятий з виробн.</v>
      </c>
      <c r="C147" s="89" t="str">
        <f ca="1">IFERROR(
  VLOOKUP(A147, '1C'!B:Y, 24, 0),)</f>
        <v>знятий з виробн.</v>
      </c>
      <c r="D147" s="80" t="str">
        <f ca="1">IFERROR(
  VLOOKUP(A147, '1C'!B:J, 9, 0),)</f>
        <v>Однофазне, клеми внизу, тільки реле напруги</v>
      </c>
      <c r="E147" s="81" t="str">
        <f ca="1">IFERROR(
  VLOOKUP(A147, '1C'!B:Q, 15, 0),)</f>
        <v>DIN</v>
      </c>
      <c r="F147" s="82">
        <f ca="1">IFERROR(
  VLOOKUP(A147, '1C'!B:S, 18, 0),)</f>
        <v>3</v>
      </c>
      <c r="G147" s="83" t="str">
        <f ca="1">IFERROR(
  VLOOKUP(A147, '1C'!B:U, 19, 0),)</f>
        <v>40A</v>
      </c>
      <c r="H147" s="81" t="str">
        <f ca="1">IFERROR(
  VLOOKUP(A147, '1C'!B:G, 6, 0),)</f>
        <v>NTPH10403</v>
      </c>
      <c r="I147" s="90" t="str">
        <f ca="1">IFERROR( VLOOKUP(A147, '1C'!B:I, 8, 0),)</f>
        <v>-</v>
      </c>
      <c r="J147" s="91" t="str">
        <f ca="1">IFERROR(
  VLOOKUP(A147, '1C'!B:H, 7, 0),)</f>
        <v>8536 49 00 90</v>
      </c>
      <c r="K147" s="86"/>
      <c r="L147" s="92"/>
    </row>
    <row r="148" spans="1:12" ht="14.4">
      <c r="A148" s="93" t="str">
        <f ca="1">IFERROR(__xludf.DUMMYFUNCTION("iferror(IFERROR(
HYPERLINK(
  VLOOKUP(
    INDEX(UNIQUE(FLATTEN({'1C'!$A$2:A200,'1C'!$B$2:B200})), ROW(A146)), 
    '1C'!B:O, 12, 0),
  INDEX(UNIQUE(FLATTEN({'1C'!$A$2:A200,'1C'!$B$2:B200})), ROW(A146))),
MATCH(INDEX(UNIQUE(FLATTEN({'1C'!$A$2:A200,'1C'!$B"&amp;"$2:B200})), ROW(A146)), L$3:L200, 0)
),)"),"РН-106")</f>
        <v>РН-106</v>
      </c>
      <c r="B148" s="89" t="str">
        <f ca="1">IFERROR(
  VLOOKUP(A148, '1C'!B:D, 3, 0),)</f>
        <v>знятий з виробн.</v>
      </c>
      <c r="C148" s="89" t="str">
        <f ca="1">IFERROR(
  VLOOKUP(A148, '1C'!B:Y, 24, 0),)</f>
        <v>знятий з виробн.</v>
      </c>
      <c r="D148" s="80" t="str">
        <f ca="1">IFERROR(
  VLOOKUP(A148, '1C'!B:J, 9, 0),)</f>
        <v>Однофазне, клеми внизу, тільки реле напруги</v>
      </c>
      <c r="E148" s="81" t="str">
        <f ca="1">IFERROR(
  VLOOKUP(A148, '1C'!B:Q, 15, 0),)</f>
        <v>DIN</v>
      </c>
      <c r="F148" s="82">
        <f ca="1">IFERROR(
  VLOOKUP(A148, '1C'!B:S, 18, 0),)</f>
        <v>3</v>
      </c>
      <c r="G148" s="83" t="str">
        <f ca="1">IFERROR(
  VLOOKUP(A148, '1C'!B:U, 19, 0),)</f>
        <v>63A</v>
      </c>
      <c r="H148" s="81" t="str">
        <f ca="1">IFERROR(
  VLOOKUP(A148, '1C'!B:G, 6, 0),)</f>
        <v>NTPH10603</v>
      </c>
      <c r="I148" s="90" t="str">
        <f ca="1">IFERROR( VLOOKUP(A148, '1C'!B:I, 8, 0),)</f>
        <v>-</v>
      </c>
      <c r="J148" s="91" t="str">
        <f ca="1">IFERROR(
  VLOOKUP(A148, '1C'!B:H, 7, 0),)</f>
        <v>8536 49 00 90</v>
      </c>
      <c r="K148" s="86"/>
      <c r="L148" s="92"/>
    </row>
    <row r="149" spans="1:12" ht="14.4">
      <c r="A149" s="88" t="str">
        <f ca="1">IFERROR(__xludf.DUMMYFUNCTION("iferror(IFERROR(
HYPERLINK(
  VLOOKUP(
    INDEX(UNIQUE(FLATTEN({'1C'!$A$2:A200,'1C'!$B$2:B200})), ROW(A147)), 
    '1C'!B:O, 12, 0),
  INDEX(UNIQUE(FLATTEN({'1C'!$A$2:A200,'1C'!$B$2:B200})), ROW(A147))),
MATCH(INDEX(UNIQUE(FLATTEN({'1C'!$A$2:A200,'1C'!$B"&amp;"$2:B200})), ROW(A147)), L$3:L200, 0)
),)"),"РН-125")</f>
        <v>РН-125</v>
      </c>
      <c r="B149" s="89">
        <f ca="1">IFERROR(
  VLOOKUP(A149, '1C'!B:D, 3, 0),)</f>
        <v>735</v>
      </c>
      <c r="C149" s="89">
        <f ca="1">IFERROR(
  VLOOKUP(A149, '1C'!B:Y, 24, 0),)</f>
        <v>810</v>
      </c>
      <c r="D149" s="80" t="str">
        <f ca="1">IFERROR(
  VLOOKUP(A149, '1C'!B:J, 9, 0),)</f>
        <v>Однофазне, клеми внизу, тільки реле напруги</v>
      </c>
      <c r="E149" s="81" t="str">
        <f ca="1">IFERROR(
  VLOOKUP(A149, '1C'!B:Q, 15, 0),)</f>
        <v>DIN</v>
      </c>
      <c r="F149" s="82">
        <f ca="1">IFERROR(
  VLOOKUP(A149, '1C'!B:S, 18, 0),)</f>
        <v>3</v>
      </c>
      <c r="G149" s="83" t="str">
        <f ca="1">IFERROR(
  VLOOKUP(A149, '1C'!B:U, 19, 0),)</f>
        <v>25А</v>
      </c>
      <c r="H149" s="81" t="str">
        <f ca="1">IFERROR(
  VLOOKUP(A149, '1C'!B:G, 6, 0),)</f>
        <v>NTRN12503</v>
      </c>
      <c r="I149" s="90" t="str">
        <f ca="1">IFERROR( VLOOKUP(A149, '1C'!B:I, 8, 0),)</f>
        <v>-</v>
      </c>
      <c r="J149" s="91" t="str">
        <f ca="1">IFERROR(
  VLOOKUP(A149, '1C'!B:H, 7, 0),)</f>
        <v>8536 49 00 90</v>
      </c>
      <c r="K149" s="86"/>
      <c r="L149" s="92"/>
    </row>
    <row r="150" spans="1:12" ht="14.4">
      <c r="A150" s="88" t="str">
        <f ca="1">IFERROR(__xludf.DUMMYFUNCTION("iferror(IFERROR(
HYPERLINK(
  VLOOKUP(
    INDEX(UNIQUE(FLATTEN({'1C'!$A$2:A200,'1C'!$B$2:B200})), ROW(A148)), 
    '1C'!B:O, 12, 0),
  INDEX(UNIQUE(FLATTEN({'1C'!$A$2:A200,'1C'!$B$2:B200})), ROW(A148))),
MATCH(INDEX(UNIQUE(FLATTEN({'1C'!$A$2:A200,'1C'!$B"&amp;"$2:B200})), ROW(A148)), L$3:L200, 0)
),)"),"РН-132")</f>
        <v>РН-132</v>
      </c>
      <c r="B150" s="89">
        <f ca="1">IFERROR(
  VLOOKUP(A150, '1C'!B:D, 3, 0),)</f>
        <v>785</v>
      </c>
      <c r="C150" s="89">
        <f ca="1">IFERROR(
  VLOOKUP(A150, '1C'!B:Y, 24, 0),)</f>
        <v>865</v>
      </c>
      <c r="D150" s="80" t="str">
        <f ca="1">IFERROR(
  VLOOKUP(A150, '1C'!B:J, 9, 0),)</f>
        <v>Однофазне, клеми внизу, тільки реле напруги</v>
      </c>
      <c r="E150" s="81" t="str">
        <f ca="1">IFERROR(
  VLOOKUP(A150, '1C'!B:Q, 15, 0),)</f>
        <v>DIN</v>
      </c>
      <c r="F150" s="82">
        <f ca="1">IFERROR(
  VLOOKUP(A150, '1C'!B:S, 18, 0),)</f>
        <v>3</v>
      </c>
      <c r="G150" s="83" t="str">
        <f ca="1">IFERROR(
  VLOOKUP(A150, '1C'!B:U, 19, 0),)</f>
        <v>32А</v>
      </c>
      <c r="H150" s="81" t="str">
        <f ca="1">IFERROR(
  VLOOKUP(A150, '1C'!B:G, 6, 0),)</f>
        <v>NTRN13203</v>
      </c>
      <c r="I150" s="90" t="str">
        <f ca="1">IFERROR( VLOOKUP(A150, '1C'!B:I, 8, 0),)</f>
        <v>-</v>
      </c>
      <c r="J150" s="91" t="str">
        <f ca="1">IFERROR(
  VLOOKUP(A150, '1C'!B:H, 7, 0),)</f>
        <v>8536 49 00 90</v>
      </c>
      <c r="K150" s="86"/>
      <c r="L150" s="92"/>
    </row>
    <row r="151" spans="1:12" ht="14.4">
      <c r="A151" s="88" t="str">
        <f ca="1">IFERROR(__xludf.DUMMYFUNCTION("iferror(IFERROR(
HYPERLINK(
  VLOOKUP(
    INDEX(UNIQUE(FLATTEN({'1C'!$A$2:A200,'1C'!$B$2:B200})), ROW(A149)), 
    '1C'!B:O, 12, 0),
  INDEX(UNIQUE(FLATTEN({'1C'!$A$2:A200,'1C'!$B$2:B200})), ROW(A149))),
MATCH(INDEX(UNIQUE(FLATTEN({'1C'!$A$2:A200,'1C'!$B"&amp;"$2:B200})), ROW(A149)), L$3:L200, 0)
),)"),"РН-140")</f>
        <v>РН-140</v>
      </c>
      <c r="B151" s="89">
        <f ca="1">IFERROR(
  VLOOKUP(A151, '1C'!B:D, 3, 0),)</f>
        <v>905</v>
      </c>
      <c r="C151" s="89">
        <f ca="1">IFERROR(
  VLOOKUP(A151, '1C'!B:Y, 24, 0),)</f>
        <v>1000</v>
      </c>
      <c r="D151" s="80" t="str">
        <f ca="1">IFERROR(
  VLOOKUP(A151, '1C'!B:J, 9, 0),)</f>
        <v>Однофазне, клеми внизу, тільки реле напруги</v>
      </c>
      <c r="E151" s="81" t="str">
        <f ca="1">IFERROR(
  VLOOKUP(A151, '1C'!B:Q, 15, 0),)</f>
        <v>DIN</v>
      </c>
      <c r="F151" s="82">
        <f ca="1">IFERROR(
  VLOOKUP(A151, '1C'!B:S, 18, 0),)</f>
        <v>3</v>
      </c>
      <c r="G151" s="83" t="str">
        <f ca="1">IFERROR(
  VLOOKUP(A151, '1C'!B:U, 19, 0),)</f>
        <v>40А</v>
      </c>
      <c r="H151" s="81" t="str">
        <f ca="1">IFERROR(
  VLOOKUP(A151, '1C'!B:G, 6, 0),)</f>
        <v>NTRN14003</v>
      </c>
      <c r="I151" s="90" t="str">
        <f ca="1">IFERROR( VLOOKUP(A151, '1C'!B:I, 8, 0),)</f>
        <v>-</v>
      </c>
      <c r="J151" s="91" t="str">
        <f ca="1">IFERROR(
  VLOOKUP(A151, '1C'!B:H, 7, 0),)</f>
        <v>8536 49 00 90</v>
      </c>
      <c r="K151" s="86"/>
      <c r="L151" s="92"/>
    </row>
    <row r="152" spans="1:12" ht="14.4">
      <c r="A152" s="88" t="str">
        <f ca="1">IFERROR(__xludf.DUMMYFUNCTION("iferror(IFERROR(
HYPERLINK(
  VLOOKUP(
    INDEX(UNIQUE(FLATTEN({'1C'!$A$2:A200,'1C'!$B$2:B200})), ROW(A150)), 
    '1C'!B:O, 12, 0),
  INDEX(UNIQUE(FLATTEN({'1C'!$A$2:A200,'1C'!$B$2:B200})), ROW(A150))),
MATCH(INDEX(UNIQUE(FLATTEN({'1C'!$A$2:A200,'1C'!$B"&amp;"$2:B200})), ROW(A150)), L$3:L200, 0)
),)"),"РН-150")</f>
        <v>РН-150</v>
      </c>
      <c r="B152" s="89">
        <f ca="1">IFERROR(
  VLOOKUP(A152, '1C'!B:D, 3, 0),)</f>
        <v>975</v>
      </c>
      <c r="C152" s="89">
        <f ca="1">IFERROR(
  VLOOKUP(A152, '1C'!B:Y, 24, 0),)</f>
        <v>1075</v>
      </c>
      <c r="D152" s="80" t="str">
        <f ca="1">IFERROR(
  VLOOKUP(A152, '1C'!B:J, 9, 0),)</f>
        <v>Однофазне, клеми внизу, тільки реле напруги</v>
      </c>
      <c r="E152" s="81" t="str">
        <f ca="1">IFERROR(
  VLOOKUP(A152, '1C'!B:Q, 15, 0),)</f>
        <v>DIN</v>
      </c>
      <c r="F152" s="82">
        <f ca="1">IFERROR(
  VLOOKUP(A152, '1C'!B:S, 18, 0),)</f>
        <v>3</v>
      </c>
      <c r="G152" s="83" t="str">
        <f ca="1">IFERROR(
  VLOOKUP(A152, '1C'!B:U, 19, 0),)</f>
        <v>50А</v>
      </c>
      <c r="H152" s="81" t="str">
        <f ca="1">IFERROR(
  VLOOKUP(A152, '1C'!B:G, 6, 0),)</f>
        <v>NTRN15003</v>
      </c>
      <c r="I152" s="90" t="str">
        <f ca="1">IFERROR( VLOOKUP(A152, '1C'!B:I, 8, 0),)</f>
        <v>-</v>
      </c>
      <c r="J152" s="91" t="str">
        <f ca="1">IFERROR(
  VLOOKUP(A152, '1C'!B:H, 7, 0),)</f>
        <v>8536 49 00 90</v>
      </c>
      <c r="K152" s="86"/>
      <c r="L152" s="92"/>
    </row>
    <row r="153" spans="1:12" ht="14.4">
      <c r="A153" s="88" t="str">
        <f ca="1">IFERROR(__xludf.DUMMYFUNCTION("iferror(IFERROR(
HYPERLINK(
  VLOOKUP(
    INDEX(UNIQUE(FLATTEN({'1C'!$A$2:A200,'1C'!$B$2:B200})), ROW(A151)), 
    '1C'!B:O, 12, 0),
  INDEX(UNIQUE(FLATTEN({'1C'!$A$2:A200,'1C'!$B$2:B200})), ROW(A151))),
MATCH(INDEX(UNIQUE(FLATTEN({'1C'!$A$2:A200,'1C'!$B"&amp;"$2:B200})), ROW(A151)), L$3:L200, 0)
),)"),"РН-163")</f>
        <v>РН-163</v>
      </c>
      <c r="B153" s="89">
        <f ca="1">IFERROR(
  VLOOKUP(A153, '1C'!B:D, 3, 0),)</f>
        <v>1040</v>
      </c>
      <c r="C153" s="89">
        <f ca="1">IFERROR(
  VLOOKUP(A153, '1C'!B:Y, 24, 0),)</f>
        <v>1145</v>
      </c>
      <c r="D153" s="80" t="str">
        <f ca="1">IFERROR(
  VLOOKUP(A153, '1C'!B:J, 9, 0),)</f>
        <v>Однофазне, клеми внизу, тільки реле напруги</v>
      </c>
      <c r="E153" s="81" t="str">
        <f ca="1">IFERROR(
  VLOOKUP(A153, '1C'!B:Q, 15, 0),)</f>
        <v>DIN</v>
      </c>
      <c r="F153" s="82">
        <f ca="1">IFERROR(
  VLOOKUP(A153, '1C'!B:S, 18, 0),)</f>
        <v>3</v>
      </c>
      <c r="G153" s="83" t="str">
        <f ca="1">IFERROR(
  VLOOKUP(A153, '1C'!B:U, 19, 0),)</f>
        <v>63А</v>
      </c>
      <c r="H153" s="81" t="str">
        <f ca="1">IFERROR(
  VLOOKUP(A153, '1C'!B:G, 6, 0),)</f>
        <v>NTRN16303</v>
      </c>
      <c r="I153" s="90" t="str">
        <f ca="1">IFERROR( VLOOKUP(A153, '1C'!B:I, 8, 0),)</f>
        <v>-</v>
      </c>
      <c r="J153" s="91" t="str">
        <f ca="1">IFERROR(
  VLOOKUP(A153, '1C'!B:H, 7, 0),)</f>
        <v>8536 49 00 90</v>
      </c>
      <c r="K153" s="86"/>
      <c r="L153" s="92"/>
    </row>
    <row r="154" spans="1:12" ht="14.4">
      <c r="A154" s="88" t="str">
        <f ca="1">IFERROR(__xludf.DUMMYFUNCTION("iferror(IFERROR(
HYPERLINK(
  VLOOKUP(
    INDEX(UNIQUE(FLATTEN({'1C'!$A$2:A200,'1C'!$B$2:B200})), ROW(A152)), 
    '1C'!B:O, 12, 0),
  INDEX(UNIQUE(FLATTEN({'1C'!$A$2:A200,'1C'!$B$2:B200})), ROW(A152))),
MATCH(INDEX(UNIQUE(FLATTEN({'1C'!$A$2:A200,'1C'!$B"&amp;"$2:B200})), ROW(A152)), L$3:L200, 0)
),)"),"РН-125Т")</f>
        <v>РН-125Т</v>
      </c>
      <c r="B154" s="89">
        <f ca="1">IFERROR(
  VLOOKUP(A154, '1C'!B:D, 3, 0),)</f>
        <v>785</v>
      </c>
      <c r="C154" s="89">
        <f ca="1">IFERROR(
  VLOOKUP(A154, '1C'!B:Y, 24, 0),)</f>
        <v>865</v>
      </c>
      <c r="D154" s="80" t="str">
        <f ca="1">IFERROR(
  VLOOKUP(A154, '1C'!B:J, 9, 0),)</f>
        <v>З термозахистом, однофазне, клеми внизу, тільки реле напруги</v>
      </c>
      <c r="E154" s="81" t="str">
        <f ca="1">IFERROR(
  VLOOKUP(A154, '1C'!B:Q, 15, 0),)</f>
        <v>DIN</v>
      </c>
      <c r="F154" s="82">
        <f ca="1">IFERROR(
  VLOOKUP(A154, '1C'!B:S, 18, 0),)</f>
        <v>3</v>
      </c>
      <c r="G154" s="83" t="str">
        <f ca="1">IFERROR(
  VLOOKUP(A154, '1C'!B:U, 19, 0),)</f>
        <v>25А</v>
      </c>
      <c r="H154" s="81" t="str">
        <f ca="1">IFERROR(
  VLOOKUP(A154, '1C'!B:G, 6, 0),)</f>
        <v>NTRN125T3</v>
      </c>
      <c r="I154" s="90" t="str">
        <f ca="1">IFERROR( VLOOKUP(A154, '1C'!B:I, 8, 0),)</f>
        <v>-</v>
      </c>
      <c r="J154" s="91" t="str">
        <f ca="1">IFERROR(
  VLOOKUP(A154, '1C'!B:H, 7, 0),)</f>
        <v>8536 49 00 90</v>
      </c>
      <c r="K154" s="86"/>
      <c r="L154" s="92"/>
    </row>
    <row r="155" spans="1:12" ht="14.4">
      <c r="A155" s="88" t="str">
        <f ca="1">IFERROR(__xludf.DUMMYFUNCTION("iferror(IFERROR(
HYPERLINK(
  VLOOKUP(
    INDEX(UNIQUE(FLATTEN({'1C'!$A$2:A200,'1C'!$B$2:B200})), ROW(A153)), 
    '1C'!B:O, 12, 0),
  INDEX(UNIQUE(FLATTEN({'1C'!$A$2:A200,'1C'!$B$2:B200})), ROW(A153))),
MATCH(INDEX(UNIQUE(FLATTEN({'1C'!$A$2:A200,'1C'!$B"&amp;"$2:B200})), ROW(A153)), L$3:L200, 0)
),)"),"РН-132Т")</f>
        <v>РН-132Т</v>
      </c>
      <c r="B155" s="89">
        <f ca="1">IFERROR(
  VLOOKUP(A155, '1C'!B:D, 3, 0),)</f>
        <v>870</v>
      </c>
      <c r="C155" s="89">
        <f ca="1">IFERROR(
  VLOOKUP(A155, '1C'!B:Y, 24, 0),)</f>
        <v>960</v>
      </c>
      <c r="D155" s="80" t="str">
        <f ca="1">IFERROR(
  VLOOKUP(A155, '1C'!B:J, 9, 0),)</f>
        <v>З термозахистом, однофазне, клеми внизу, тільки реле напруги</v>
      </c>
      <c r="E155" s="81" t="str">
        <f ca="1">IFERROR(
  VLOOKUP(A155, '1C'!B:Q, 15, 0),)</f>
        <v>DIN</v>
      </c>
      <c r="F155" s="82">
        <f ca="1">IFERROR(
  VLOOKUP(A155, '1C'!B:S, 18, 0),)</f>
        <v>3</v>
      </c>
      <c r="G155" s="83" t="str">
        <f ca="1">IFERROR(
  VLOOKUP(A155, '1C'!B:U, 19, 0),)</f>
        <v>32А</v>
      </c>
      <c r="H155" s="81" t="str">
        <f ca="1">IFERROR(
  VLOOKUP(A155, '1C'!B:G, 6, 0),)</f>
        <v>NTRN132T3</v>
      </c>
      <c r="I155" s="90" t="str">
        <f ca="1">IFERROR( VLOOKUP(A155, '1C'!B:I, 8, 0),)</f>
        <v>-</v>
      </c>
      <c r="J155" s="91" t="str">
        <f ca="1">IFERROR(
  VLOOKUP(A155, '1C'!B:H, 7, 0),)</f>
        <v>8536 49 00 90</v>
      </c>
      <c r="K155" s="86"/>
      <c r="L155" s="92"/>
    </row>
    <row r="156" spans="1:12" ht="14.4">
      <c r="A156" s="88" t="str">
        <f ca="1">IFERROR(__xludf.DUMMYFUNCTION("iferror(IFERROR(
HYPERLINK(
  VLOOKUP(
    INDEX(UNIQUE(FLATTEN({'1C'!$A$2:A200,'1C'!$B$2:B200})), ROW(A154)), 
    '1C'!B:O, 12, 0),
  INDEX(UNIQUE(FLATTEN({'1C'!$A$2:A200,'1C'!$B$2:B200})), ROW(A154))),
MATCH(INDEX(UNIQUE(FLATTEN({'1C'!$A$2:A200,'1C'!$B"&amp;"$2:B200})), ROW(A154)), L$3:L200, 0)
),)"),"РН-140Т")</f>
        <v>РН-140Т</v>
      </c>
      <c r="B156" s="89">
        <f ca="1">IFERROR(
  VLOOKUP(A156, '1C'!B:D, 3, 0),)</f>
        <v>945</v>
      </c>
      <c r="C156" s="89">
        <f ca="1">IFERROR(
  VLOOKUP(A156, '1C'!B:Y, 24, 0),)</f>
        <v>1040</v>
      </c>
      <c r="D156" s="80" t="str">
        <f ca="1">IFERROR(
  VLOOKUP(A156, '1C'!B:J, 9, 0),)</f>
        <v>З термозахистом, однофазне, клеми внизу, тільки реле напруги</v>
      </c>
      <c r="E156" s="81" t="str">
        <f ca="1">IFERROR(
  VLOOKUP(A156, '1C'!B:Q, 15, 0),)</f>
        <v>DIN</v>
      </c>
      <c r="F156" s="82">
        <f ca="1">IFERROR(
  VLOOKUP(A156, '1C'!B:S, 18, 0),)</f>
        <v>3</v>
      </c>
      <c r="G156" s="83" t="str">
        <f ca="1">IFERROR(
  VLOOKUP(A156, '1C'!B:U, 19, 0),)</f>
        <v>40А</v>
      </c>
      <c r="H156" s="81" t="str">
        <f ca="1">IFERROR(
  VLOOKUP(A156, '1C'!B:G, 6, 0),)</f>
        <v>NTRN140T3</v>
      </c>
      <c r="I156" s="90" t="str">
        <f ca="1">IFERROR( VLOOKUP(A156, '1C'!B:I, 8, 0),)</f>
        <v>-</v>
      </c>
      <c r="J156" s="91" t="str">
        <f ca="1">IFERROR(
  VLOOKUP(A156, '1C'!B:H, 7, 0),)</f>
        <v>8536 49 00 90</v>
      </c>
      <c r="K156" s="86"/>
      <c r="L156" s="92"/>
    </row>
    <row r="157" spans="1:12" ht="14.4">
      <c r="A157" s="88" t="str">
        <f ca="1">IFERROR(__xludf.DUMMYFUNCTION("iferror(IFERROR(
HYPERLINK(
  VLOOKUP(
    INDEX(UNIQUE(FLATTEN({'1C'!$A$2:A200,'1C'!$B$2:B200})), ROW(A155)), 
    '1C'!B:O, 12, 0),
  INDEX(UNIQUE(FLATTEN({'1C'!$A$2:A200,'1C'!$B$2:B200})), ROW(A155))),
MATCH(INDEX(UNIQUE(FLATTEN({'1C'!$A$2:A200,'1C'!$B"&amp;"$2:B200})), ROW(A155)), L$3:L200, 0)
),)"),"РН-150Т")</f>
        <v>РН-150Т</v>
      </c>
      <c r="B157" s="89">
        <f ca="1">IFERROR(
  VLOOKUP(A157, '1C'!B:D, 3, 0),)</f>
        <v>1020</v>
      </c>
      <c r="C157" s="89">
        <f ca="1">IFERROR(
  VLOOKUP(A157, '1C'!B:Y, 24, 0),)</f>
        <v>1125</v>
      </c>
      <c r="D157" s="80" t="str">
        <f ca="1">IFERROR(
  VLOOKUP(A157, '1C'!B:J, 9, 0),)</f>
        <v>З термозахистом, однофазне, клеми внизу, тільки реле напруги</v>
      </c>
      <c r="E157" s="81" t="str">
        <f ca="1">IFERROR(
  VLOOKUP(A157, '1C'!B:Q, 15, 0),)</f>
        <v>DIN</v>
      </c>
      <c r="F157" s="82">
        <f ca="1">IFERROR(
  VLOOKUP(A157, '1C'!B:S, 18, 0),)</f>
        <v>3</v>
      </c>
      <c r="G157" s="83" t="str">
        <f ca="1">IFERROR(
  VLOOKUP(A157, '1C'!B:U, 19, 0),)</f>
        <v>50А</v>
      </c>
      <c r="H157" s="81" t="str">
        <f ca="1">IFERROR(
  VLOOKUP(A157, '1C'!B:G, 6, 0),)</f>
        <v>NTRN150T3</v>
      </c>
      <c r="I157" s="90" t="str">
        <f ca="1">IFERROR( VLOOKUP(A157, '1C'!B:I, 8, 0),)</f>
        <v>-</v>
      </c>
      <c r="J157" s="91" t="str">
        <f ca="1">IFERROR(
  VLOOKUP(A157, '1C'!B:H, 7, 0),)</f>
        <v>8536 49 00 90</v>
      </c>
      <c r="K157" s="86"/>
      <c r="L157" s="92"/>
    </row>
    <row r="158" spans="1:12" ht="14.4">
      <c r="A158" s="88" t="str">
        <f ca="1">IFERROR(__xludf.DUMMYFUNCTION("iferror(IFERROR(
HYPERLINK(
  VLOOKUP(
    INDEX(UNIQUE(FLATTEN({'1C'!$A$2:A200,'1C'!$B$2:B200})), ROW(A156)), 
    '1C'!B:O, 12, 0),
  INDEX(UNIQUE(FLATTEN({'1C'!$A$2:A200,'1C'!$B$2:B200})), ROW(A156))),
MATCH(INDEX(UNIQUE(FLATTEN({'1C'!$A$2:A200,'1C'!$B"&amp;"$2:B200})), ROW(A156)), L$3:L200, 0)
),)"),"РН-163Т")</f>
        <v>РН-163Т</v>
      </c>
      <c r="B158" s="89">
        <f ca="1">IFERROR(
  VLOOKUP(A158, '1C'!B:D, 3, 0),)</f>
        <v>1105</v>
      </c>
      <c r="C158" s="89">
        <f ca="1">IFERROR(
  VLOOKUP(A158, '1C'!B:Y, 24, 0),)</f>
        <v>1215</v>
      </c>
      <c r="D158" s="80" t="str">
        <f ca="1">IFERROR(
  VLOOKUP(A158, '1C'!B:J, 9, 0),)</f>
        <v>З термозахистом, однофазне, клеми внизу, тільки реле напруги</v>
      </c>
      <c r="E158" s="81" t="str">
        <f ca="1">IFERROR(
  VLOOKUP(A158, '1C'!B:Q, 15, 0),)</f>
        <v>DIN</v>
      </c>
      <c r="F158" s="82">
        <f ca="1">IFERROR(
  VLOOKUP(A158, '1C'!B:S, 18, 0),)</f>
        <v>3</v>
      </c>
      <c r="G158" s="83" t="str">
        <f ca="1">IFERROR(
  VLOOKUP(A158, '1C'!B:U, 19, 0),)</f>
        <v>63А</v>
      </c>
      <c r="H158" s="81" t="str">
        <f ca="1">IFERROR(
  VLOOKUP(A158, '1C'!B:G, 6, 0),)</f>
        <v>NTRN163T3</v>
      </c>
      <c r="I158" s="90" t="str">
        <f ca="1">IFERROR( VLOOKUP(A158, '1C'!B:I, 8, 0),)</f>
        <v>-</v>
      </c>
      <c r="J158" s="91" t="str">
        <f ca="1">IFERROR(
  VLOOKUP(A158, '1C'!B:H, 7, 0),)</f>
        <v>8536 49 00 90</v>
      </c>
      <c r="K158" s="86"/>
      <c r="L158" s="92"/>
    </row>
    <row r="159" spans="1:12" ht="14.4">
      <c r="A159" s="88" t="str">
        <f ca="1">IFERROR(__xludf.DUMMYFUNCTION("iferror(IFERROR(
HYPERLINK(
  VLOOKUP(
    INDEX(UNIQUE(FLATTEN({'1C'!$A$2:A200,'1C'!$B$2:B200})), ROW(A157)), 
    '1C'!B:O, 12, 0),
  INDEX(UNIQUE(FLATTEN({'1C'!$A$2:A200,'1C'!$B$2:B200})), ROW(A157))),
MATCH(INDEX(UNIQUE(FLATTEN({'1C'!$A$2:A200,'1C'!$B"&amp;"$2:B200})), ROW(A157)), L$3:L200, 0)
),)"),"РН-240Т")</f>
        <v>РН-240Т</v>
      </c>
      <c r="B159" s="89">
        <f ca="1">IFERROR(
  VLOOKUP(A159, '1C'!B:D, 3, 0),)</f>
        <v>1185</v>
      </c>
      <c r="C159" s="89">
        <f ca="1">IFERROR(
  VLOOKUP(A159, '1C'!B:Y, 24, 0),)</f>
        <v>1305</v>
      </c>
      <c r="D159" s="80" t="str">
        <f ca="1">IFERROR(
  VLOOKUP(A159, '1C'!B:J, 9, 0),)</f>
        <v>Обмежувач струму + реле напруги, індикація потужності</v>
      </c>
      <c r="E159" s="81" t="str">
        <f ca="1">IFERROR(
  VLOOKUP(A159, '1C'!B:Q, 15, 0),)</f>
        <v>DIN</v>
      </c>
      <c r="F159" s="82">
        <f ca="1">IFERROR(
  VLOOKUP(A159, '1C'!B:S, 18, 0),)</f>
        <v>2</v>
      </c>
      <c r="G159" s="83" t="str">
        <f ca="1">IFERROR(
  VLOOKUP(A159, '1C'!B:U, 19, 0),)</f>
        <v>40А</v>
      </c>
      <c r="H159" s="81" t="str">
        <f ca="1">IFERROR(
  VLOOKUP(A159, '1C'!B:G, 6, 0),)</f>
        <v>NTRN240T2</v>
      </c>
      <c r="I159" s="90">
        <f ca="1">IFERROR( VLOOKUP(A159, '1C'!B:I, 8, 0),)</f>
        <v>4820122950269</v>
      </c>
      <c r="J159" s="91" t="str">
        <f ca="1">IFERROR(
  VLOOKUP(A159, '1C'!B:H, 7, 0),)</f>
        <v>8536 49 00 90</v>
      </c>
      <c r="K159" s="86"/>
      <c r="L159" s="92"/>
    </row>
    <row r="160" spans="1:12" ht="14.4">
      <c r="A160" s="88" t="str">
        <f ca="1">IFERROR(__xludf.DUMMYFUNCTION("iferror(IFERROR(
HYPERLINK(
  VLOOKUP(
    INDEX(UNIQUE(FLATTEN({'1C'!$A$2:A200,'1C'!$B$2:B200})), ROW(A158)), 
    '1C'!B:O, 12, 0),
  INDEX(UNIQUE(FLATTEN({'1C'!$A$2:A200,'1C'!$B$2:B200})), ROW(A158))),
MATCH(INDEX(UNIQUE(FLATTEN({'1C'!$A$2:A200,'1C'!$B"&amp;"$2:B200})), ROW(A158)), L$3:L200, 0)
),)"),"РН-260Т")</f>
        <v>РН-260Т</v>
      </c>
      <c r="B160" s="89">
        <f ca="1">IFERROR(
  VLOOKUP(A160, '1C'!B:D, 3, 0),)</f>
        <v>1295</v>
      </c>
      <c r="C160" s="89">
        <f ca="1">IFERROR(
  VLOOKUP(A160, '1C'!B:Y, 24, 0),)</f>
        <v>1425</v>
      </c>
      <c r="D160" s="80" t="str">
        <f ca="1">IFERROR(
  VLOOKUP(A160, '1C'!B:J, 9, 0),)</f>
        <v>Обмежувач струму + реле напруги + обмежувач потужності, індикація параметрів</v>
      </c>
      <c r="E160" s="81" t="str">
        <f ca="1">IFERROR(
  VLOOKUP(A160, '1C'!B:Q, 15, 0),)</f>
        <v>DIN</v>
      </c>
      <c r="F160" s="82">
        <f ca="1">IFERROR(
  VLOOKUP(A160, '1C'!B:S, 18, 0),)</f>
        <v>3</v>
      </c>
      <c r="G160" s="83" t="str">
        <f ca="1">IFERROR(
  VLOOKUP(A160, '1C'!B:U, 19, 0),)</f>
        <v>63А</v>
      </c>
      <c r="H160" s="81" t="str">
        <f ca="1">IFERROR(
  VLOOKUP(A160, '1C'!B:G, 6, 0),)</f>
        <v>NTRN260T3</v>
      </c>
      <c r="I160" s="90">
        <f ca="1">IFERROR( VLOOKUP(A160, '1C'!B:I, 8, 0),)</f>
        <v>4820122950405</v>
      </c>
      <c r="J160" s="91" t="str">
        <f ca="1">IFERROR(
  VLOOKUP(A160, '1C'!B:H, 7, 0),)</f>
        <v>8536 49 00 90</v>
      </c>
      <c r="K160" s="86"/>
      <c r="L160" s="92"/>
    </row>
    <row r="161" spans="1:12" ht="14.4">
      <c r="A161" s="88" t="str">
        <f ca="1">IFERROR(__xludf.DUMMYFUNCTION("iferror(IFERROR(
HYPERLINK(
  VLOOKUP(
    INDEX(UNIQUE(FLATTEN({'1C'!$A$2:A200,'1C'!$B$2:B200})), ROW(A159)), 
    '1C'!B:O, 12, 0),
  INDEX(UNIQUE(FLATTEN({'1C'!$A$2:A200,'1C'!$B$2:B200})), ROW(A159))),
MATCH(INDEX(UNIQUE(FLATTEN({'1C'!$A$2:A200,'1C'!$B"&amp;"$2:B200})), ROW(A159)), L$3:L200, 0)
),)"),"РН-263Т")</f>
        <v>РН-263Т</v>
      </c>
      <c r="B161" s="89">
        <f ca="1">IFERROR(
  VLOOKUP(A161, '1C'!B:D, 3, 0),)</f>
        <v>1285</v>
      </c>
      <c r="C161" s="89">
        <f ca="1">IFERROR(
  VLOOKUP(A161, '1C'!B:Y, 24, 0),)</f>
        <v>1415</v>
      </c>
      <c r="D161" s="80" t="str">
        <f ca="1">IFERROR(
  VLOOKUP(A161, '1C'!B:J, 9, 0),)</f>
        <v>Обмежувач струму + реле напруги, індикація потужності</v>
      </c>
      <c r="E161" s="81" t="str">
        <f ca="1">IFERROR(
  VLOOKUP(A161, '1C'!B:Q, 15, 0),)</f>
        <v>DIN</v>
      </c>
      <c r="F161" s="82">
        <f ca="1">IFERROR(
  VLOOKUP(A161, '1C'!B:S, 18, 0),)</f>
        <v>2</v>
      </c>
      <c r="G161" s="83" t="str">
        <f ca="1">IFERROR(
  VLOOKUP(A161, '1C'!B:U, 19, 0),)</f>
        <v>63А</v>
      </c>
      <c r="H161" s="81" t="str">
        <f ca="1">IFERROR(
  VLOOKUP(A161, '1C'!B:G, 6, 0),)</f>
        <v>NTRN263T2</v>
      </c>
      <c r="I161" s="90">
        <f ca="1">IFERROR( VLOOKUP(A161, '1C'!B:I, 8, 0),)</f>
        <v>4820122950276</v>
      </c>
      <c r="J161" s="91" t="str">
        <f ca="1">IFERROR(
  VLOOKUP(A161, '1C'!B:H, 7, 0),)</f>
        <v>8536 49 00 90</v>
      </c>
      <c r="K161" s="86"/>
      <c r="L161" s="92"/>
    </row>
    <row r="162" spans="1:12" ht="14.4">
      <c r="A162" s="88" t="str">
        <f ca="1">IFERROR(__xludf.DUMMYFUNCTION("iferror(IFERROR(
HYPERLINK(
  VLOOKUP(
    INDEX(UNIQUE(FLATTEN({'1C'!$A$2:A200,'1C'!$B$2:B200})), ROW(A160)), 
    '1C'!B:O, 12, 0),
  INDEX(UNIQUE(FLATTEN({'1C'!$A$2:A200,'1C'!$B$2:B200})), ROW(A160))),
MATCH(INDEX(UNIQUE(FLATTEN({'1C'!$A$2:A200,'1C'!$B"&amp;"$2:B200})), ROW(A160)), L$3:L200, 0)
),)"),"РН-112")</f>
        <v>РН-112</v>
      </c>
      <c r="B162" s="89">
        <f ca="1">IFERROR(
  VLOOKUP(A162, '1C'!B:D, 3, 0),)</f>
        <v>950</v>
      </c>
      <c r="C162" s="89">
        <f ca="1">IFERROR(
  VLOOKUP(A162, '1C'!B:Y, 24, 0),)</f>
        <v>1045</v>
      </c>
      <c r="D162" s="80" t="str">
        <f ca="1">IFERROR(
  VLOOKUP(A162, '1C'!B:J, 9, 0),)</f>
        <v>100В</v>
      </c>
      <c r="E162" s="81" t="str">
        <f ca="1">IFERROR(
  VLOOKUP(A162, '1C'!B:Q, 15, 0),)</f>
        <v>DIN</v>
      </c>
      <c r="F162" s="82">
        <f ca="1">IFERROR(
  VLOOKUP(A162, '1C'!B:S, 18, 0),)</f>
        <v>3</v>
      </c>
      <c r="G162" s="83" t="str">
        <f ca="1">IFERROR(
  VLOOKUP(A162, '1C'!B:U, 19, 0),)</f>
        <v>5А</v>
      </c>
      <c r="H162" s="81" t="str">
        <f ca="1">IFERROR(
  VLOOKUP(A162, '1C'!B:G, 6, 0),)</f>
        <v>NTRN122LV</v>
      </c>
      <c r="I162" s="90" t="str">
        <f ca="1">IFERROR( VLOOKUP(A162, '1C'!B:I, 8, 0),)</f>
        <v>-</v>
      </c>
      <c r="J162" s="91" t="str">
        <f ca="1">IFERROR(
  VLOOKUP(A162, '1C'!B:H, 7, 0),)</f>
        <v>8536 49 00 90</v>
      </c>
      <c r="K162" s="86"/>
      <c r="L162" s="92"/>
    </row>
    <row r="163" spans="1:12" ht="26.4">
      <c r="A163" s="88" t="str">
        <f ca="1">IFERROR(__xludf.DUMMYFUNCTION("iferror(IFERROR(
HYPERLINK(
  VLOOKUP(
    INDEX(UNIQUE(FLATTEN({'1C'!$A$2:A200,'1C'!$B$2:B200})), ROW(A161)), 
    '1C'!B:O, 12, 0),
  INDEX(UNIQUE(FLATTEN({'1C'!$A$2:A200,'1C'!$B$2:B200})), ROW(A161))),
MATCH(INDEX(UNIQUE(FLATTEN({'1C'!$A$2:A200,'1C'!$B"&amp;"$2:B200})), ROW(A161)), L$3:L200, 0)
),)"),"ЕМ-129")</f>
        <v>ЕМ-129</v>
      </c>
      <c r="B163" s="89">
        <f ca="1">IFERROR(
  VLOOKUP(A163, '1C'!B:D, 3, 0),)</f>
        <v>4035</v>
      </c>
      <c r="C163" s="89">
        <f ca="1">IFERROR(
  VLOOKUP(A163, '1C'!B:Y, 24, 0),)</f>
        <v>4035</v>
      </c>
      <c r="D163" s="80" t="str">
        <f ca="1">IFERROR(
  VLOOKUP(A163, '1C'!B:J, 9, 0),)</f>
        <v>Wi-Fi лічильник з реле напруги, обмеженням потужності і струму, історія, таймер, графіки</v>
      </c>
      <c r="E163" s="81" t="str">
        <f ca="1">IFERROR(
  VLOOKUP(A163, '1C'!B:Q, 15, 0),)</f>
        <v>DIN</v>
      </c>
      <c r="F163" s="82">
        <f ca="1">IFERROR(
  VLOOKUP(A163, '1C'!B:S, 18, 0),)</f>
        <v>2</v>
      </c>
      <c r="G163" s="83" t="str">
        <f ca="1">IFERROR(
  VLOOKUP(A163, '1C'!B:U, 19, 0),)</f>
        <v>63А</v>
      </c>
      <c r="H163" s="81" t="str">
        <f ca="1">IFERROR(
  VLOOKUP(A163, '1C'!B:G, 6, 0),)</f>
        <v>NTRN129S0</v>
      </c>
      <c r="I163" s="90">
        <f ca="1">IFERROR( VLOOKUP(A163, '1C'!B:I, 8, 0),)</f>
        <v>4820122950313</v>
      </c>
      <c r="J163" s="91" t="str">
        <f ca="1">IFERROR(
  VLOOKUP(A163, '1C'!B:H, 7, 0),)</f>
        <v>9028 30 11 00</v>
      </c>
      <c r="K163" s="86"/>
      <c r="L163" s="92"/>
    </row>
    <row r="164" spans="1:12" ht="14.4">
      <c r="A164" s="93" t="str">
        <f ca="1">IFERROR(__xludf.DUMMYFUNCTION("iferror(IFERROR(
HYPERLINK(
  VLOOKUP(
    INDEX(UNIQUE(FLATTEN({'1C'!$A$2:A200,'1C'!$B$2:B200})), ROW(A162)), 
    '1C'!B:O, 12, 0),
  INDEX(UNIQUE(FLATTEN({'1C'!$A$2:A200,'1C'!$B$2:B200})), ROW(A162))),
MATCH(INDEX(UNIQUE(FLATTEN({'1C'!$A$2:A200,'1C'!$B"&amp;"$2:B200})), ROW(A162)), L$3:L200, 0)
),)"),"РЕЛЕ ПЕРЕТОКУ")</f>
        <v>РЕЛЕ ПЕРЕТОКУ</v>
      </c>
      <c r="B164" s="89">
        <f ca="1">IFERROR(
  VLOOKUP(A164, '1C'!B:D, 3, 0),)</f>
        <v>0</v>
      </c>
      <c r="C164" s="89"/>
      <c r="D164" s="80">
        <f ca="1">IFERROR(
  VLOOKUP(A164, '1C'!B:J, 9, 0),)</f>
        <v>0</v>
      </c>
      <c r="E164" s="81">
        <f ca="1">IFERROR(
  VLOOKUP(A164, '1C'!B:Q, 15, 0),)</f>
        <v>0</v>
      </c>
      <c r="F164" s="82">
        <f ca="1">IFERROR(
  VLOOKUP(A164, '1C'!B:S, 18, 0),)</f>
        <v>0</v>
      </c>
      <c r="G164" s="83">
        <f ca="1">IFERROR(
  VLOOKUP(A164, '1C'!B:U, 19, 0),)</f>
        <v>0</v>
      </c>
      <c r="H164" s="81">
        <f ca="1">IFERROR(
  VLOOKUP(A164, '1C'!B:G, 6, 0),)</f>
        <v>0</v>
      </c>
      <c r="I164" s="90">
        <f ca="1">IFERROR( VLOOKUP(A164, '1C'!B:I, 8, 0),)</f>
        <v>0</v>
      </c>
      <c r="J164" s="91">
        <f ca="1">IFERROR(
  VLOOKUP(A164, '1C'!B:H, 7, 0),)</f>
        <v>0</v>
      </c>
      <c r="K164" s="86"/>
      <c r="L164" s="92"/>
    </row>
    <row r="165" spans="1:12" ht="26.4">
      <c r="A165" s="88" t="str">
        <f ca="1">IFERROR(__xludf.DUMMYFUNCTION("iferror(IFERROR(
HYPERLINK(
  VLOOKUP(
    INDEX(UNIQUE(FLATTEN({'1C'!$A$2:A200,'1C'!$B$2:B200})), ROW(A163)), 
    '1C'!B:O, 12, 0),
  INDEX(UNIQUE(FLATTEN({'1C'!$A$2:A200,'1C'!$B$2:B200})), ROW(A163))),
MATCH(INDEX(UNIQUE(FLATTEN({'1C'!$A$2:A200,'1C'!$B"&amp;"$2:B200})), ROW(A163)), L$3:L200, 0)
),)"),"EPS Master")</f>
        <v>EPS Master</v>
      </c>
      <c r="B165" s="89">
        <f ca="1">IFERROR(
  VLOOKUP(A165, '1C'!B:D, 3, 0),)</f>
        <v>4350</v>
      </c>
      <c r="C165" s="89">
        <f ca="1">IFERROR(
  VLOOKUP(A165, '1C'!B:Y, 24, 0),)</f>
        <v>4350</v>
      </c>
      <c r="D165" s="80" t="str">
        <f ca="1">IFERROR(
  VLOOKUP(A165, '1C'!B:J, 9, 0),)</f>
        <v>Wi-Fi реле перетоку з реле напруги, обмеженням потжності і струму, історія, таймер, графіки Master</v>
      </c>
      <c r="E165" s="81" t="str">
        <f ca="1">IFERROR(
  VLOOKUP(A165, '1C'!B:Q, 15, 0),)</f>
        <v>DIN</v>
      </c>
      <c r="F165" s="82">
        <f ca="1">IFERROR(
  VLOOKUP(A165, '1C'!B:S, 18, 0),)</f>
        <v>2</v>
      </c>
      <c r="G165" s="83" t="str">
        <f ca="1">IFERROR(
  VLOOKUP(A165, '1C'!B:U, 19, 0),)</f>
        <v>14кВт</v>
      </c>
      <c r="H165" s="81" t="str">
        <f ca="1">IFERROR(
  VLOOKUP(A165, '1C'!B:G, 6, 0),)</f>
        <v>EPSM0000S</v>
      </c>
      <c r="I165" s="90">
        <f ca="1">IFERROR( VLOOKUP(A165, '1C'!B:I, 8, 0),)</f>
        <v>4820122950337</v>
      </c>
      <c r="J165" s="91" t="str">
        <f ca="1">IFERROR(
  VLOOKUP(A165, '1C'!B:H, 7, 0),)</f>
        <v>-</v>
      </c>
      <c r="K165" s="86"/>
      <c r="L165" s="92"/>
    </row>
    <row r="166" spans="1:12" ht="26.4">
      <c r="A166" s="88" t="str">
        <f ca="1">IFERROR(__xludf.DUMMYFUNCTION("iferror(IFERROR(
HYPERLINK(
  VLOOKUP(
    INDEX(UNIQUE(FLATTEN({'1C'!$A$2:A200,'1C'!$B$2:B200})), ROW(A164)), 
    '1C'!B:O, 12, 0),
  INDEX(UNIQUE(FLATTEN({'1C'!$A$2:A200,'1C'!$B$2:B200})), ROW(A164))),
MATCH(INDEX(UNIQUE(FLATTEN({'1C'!$A$2:A200,'1C'!$B"&amp;"$2:B200})), ROW(A164)), L$3:L200, 0)
),)"),"EPS Slave")</f>
        <v>EPS Slave</v>
      </c>
      <c r="B166" s="89">
        <f ca="1">IFERROR(
  VLOOKUP(A166, '1C'!B:D, 3, 0),)</f>
        <v>2900</v>
      </c>
      <c r="C166" s="89">
        <f ca="1">IFERROR(
  VLOOKUP(A166, '1C'!B:Y, 24, 0),)</f>
        <v>2900</v>
      </c>
      <c r="D166" s="80" t="str">
        <f ca="1">IFERROR(
  VLOOKUP(A166, '1C'!B:J, 9, 0),)</f>
        <v>Wi-Fi реле перетоку з реле напруги, обмеженням потжності і струму, історія, таймер, графіки Slave</v>
      </c>
      <c r="E166" s="81" t="str">
        <f ca="1">IFERROR(
  VLOOKUP(A166, '1C'!B:Q, 15, 0),)</f>
        <v>вилка-розетка</v>
      </c>
      <c r="F166" s="82" t="str">
        <f ca="1">IFERROR(
  VLOOKUP(A166, '1C'!B:S, 18, 0),)</f>
        <v>-</v>
      </c>
      <c r="G166" s="83" t="str">
        <f ca="1">IFERROR(
  VLOOKUP(A166, '1C'!B:U, 19, 0),)</f>
        <v>3,6кВт</v>
      </c>
      <c r="H166" s="81" t="str">
        <f ca="1">IFERROR(
  VLOOKUP(A166, '1C'!B:G, 6, 0),)</f>
        <v>EPSS0000S</v>
      </c>
      <c r="I166" s="90">
        <f ca="1">IFERROR( VLOOKUP(A166, '1C'!B:I, 8, 0),)</f>
        <v>4820122950344</v>
      </c>
      <c r="J166" s="91">
        <f ca="1">IFERROR(
  VLOOKUP(A166, '1C'!B:H, 7, 0),)</f>
        <v>0</v>
      </c>
      <c r="K166" s="86"/>
      <c r="L166" s="92"/>
    </row>
    <row r="167" spans="1:12" ht="26.4">
      <c r="A167" s="88" t="str">
        <f ca="1">IFERROR(__xludf.DUMMYFUNCTION("iferror(IFERROR(
HYPERLINK(
  VLOOKUP(
    INDEX(UNIQUE(FLATTEN({'1C'!$A$2:A200,'1C'!$B$2:B200})), ROW(A165)), 
    '1C'!B:O, 12, 0),
  INDEX(UNIQUE(FLATTEN({'1C'!$A$2:A200,'1C'!$B$2:B200})), ROW(A165))),
MATCH(INDEX(UNIQUE(FLATTEN({'1C'!$A$2:A200,'1C'!$B"&amp;"$2:B200})), ROW(A165)), L$3:L200, 0)
),)"),"EPS 1+1 (master+slave)")</f>
        <v>EPS 1+1 (master+slave)</v>
      </c>
      <c r="B167" s="89">
        <f ca="1">IFERROR(
  VLOOKUP(A167, '1C'!B:D, 3, 0),)</f>
        <v>7245</v>
      </c>
      <c r="C167" s="89">
        <f ca="1">IFERROR(
  VLOOKUP(A167, '1C'!B:Y, 24, 0),)</f>
        <v>7245</v>
      </c>
      <c r="D167" s="80" t="str">
        <f ca="1">IFERROR(
  VLOOKUP(A167, '1C'!B:J, 9, 0),)</f>
        <v>Wi-Fi реле перетоку з реле напруги, обмеженням потжності і струму, історія, таймер, графіки Master+Slave</v>
      </c>
      <c r="E167" s="81" t="str">
        <f ca="1">IFERROR(
  VLOOKUP(A167, '1C'!B:Q, 15, 0),)</f>
        <v>Інше</v>
      </c>
      <c r="F167" s="82" t="str">
        <f ca="1">IFERROR(
  VLOOKUP(A167, '1C'!B:S, 18, 0),)</f>
        <v>-</v>
      </c>
      <c r="G167" s="83" t="str">
        <f ca="1">IFERROR(
  VLOOKUP(A167, '1C'!B:U, 19, 0),)</f>
        <v>-</v>
      </c>
      <c r="H167" s="81" t="str">
        <f ca="1">IFERROR(
  VLOOKUP(A167, '1C'!B:G, 6, 0),)</f>
        <v>EPSMS000S</v>
      </c>
      <c r="I167" s="90">
        <f ca="1">IFERROR( VLOOKUP(A167, '1C'!B:I, 8, 0),)</f>
        <v>4820122950320</v>
      </c>
      <c r="J167" s="91">
        <f ca="1">IFERROR(
  VLOOKUP(A167, '1C'!B:H, 7, 0),)</f>
        <v>0</v>
      </c>
      <c r="K167" s="86"/>
      <c r="L167" s="92"/>
    </row>
    <row r="168" spans="1:12" ht="14.4">
      <c r="A168" s="93" t="str">
        <f ca="1">IFERROR(__xludf.DUMMYFUNCTION("iferror(IFERROR(
HYPERLINK(
  VLOOKUP(
    INDEX(UNIQUE(FLATTEN({'1C'!$A$2:A200,'1C'!$B$2:B200})), ROW(A166)), 
    '1C'!B:O, 12, 0),
  INDEX(UNIQUE(FLATTEN({'1C'!$A$2:A200,'1C'!$B$2:B200})), ROW(A166))),
MATCH(INDEX(UNIQUE(FLATTEN({'1C'!$A$2:A200,'1C'!$B"&amp;"$2:B200})), ROW(A166)), L$3:L200, 0)
),)"),"СТАБІЛІЗАТОРИ НАПРУГИ")</f>
        <v>СТАБІЛІЗАТОРИ НАПРУГИ</v>
      </c>
      <c r="B168" s="89">
        <f ca="1">IFERROR(
  VLOOKUP(A168, '1C'!B:D, 3, 0),)</f>
        <v>0</v>
      </c>
      <c r="C168" s="89"/>
      <c r="D168" s="80">
        <f ca="1">IFERROR(
  VLOOKUP(A168, '1C'!B:J, 9, 0),)</f>
        <v>0</v>
      </c>
      <c r="E168" s="81">
        <f ca="1">IFERROR(
  VLOOKUP(A168, '1C'!B:Q, 15, 0),)</f>
        <v>0</v>
      </c>
      <c r="F168" s="82">
        <f ca="1">IFERROR(
  VLOOKUP(A168, '1C'!B:S, 18, 0),)</f>
        <v>0</v>
      </c>
      <c r="G168" s="83">
        <f ca="1">IFERROR(
  VLOOKUP(A168, '1C'!B:U, 19, 0),)</f>
        <v>0</v>
      </c>
      <c r="H168" s="81">
        <f ca="1">IFERROR(
  VLOOKUP(A168, '1C'!B:G, 6, 0),)</f>
        <v>0</v>
      </c>
      <c r="I168" s="90">
        <f ca="1">IFERROR( VLOOKUP(A168, '1C'!B:I, 8, 0),)</f>
        <v>0</v>
      </c>
      <c r="J168" s="91">
        <f ca="1">IFERROR(
  VLOOKUP(A168, '1C'!B:H, 7, 0),)</f>
        <v>0</v>
      </c>
      <c r="K168" s="86"/>
      <c r="L168" s="92"/>
    </row>
    <row r="169" spans="1:12" ht="39.6">
      <c r="A169" s="93" t="str">
        <f ca="1">IFERROR(__xludf.DUMMYFUNCTION("iferror(IFERROR(
HYPERLINK(
  VLOOKUP(
    INDEX(UNIQUE(FLATTEN({'1C'!$A$2:A200,'1C'!$B$2:B200})), ROW(A167)), 
    '1C'!B:O, 12, 0),
  INDEX(UNIQUE(FLATTEN({'1C'!$A$2:A200,'1C'!$B$2:B200})), ROW(A167))),
MATCH(INDEX(UNIQUE(FLATTEN({'1C'!$A$2:A200,'1C'!$B"&amp;"$2:B200})), ROW(A167)), L$3:L200, 0)
),)"),"LEGAT-5М")</f>
        <v>LEGAT-5М</v>
      </c>
      <c r="B169" s="89">
        <f ca="1">IFERROR(
  VLOOKUP(A169, '1C'!B:D, 3, 0),)</f>
        <v>5040</v>
      </c>
      <c r="C169" s="89">
        <f ca="1">IFERROR(
  VLOOKUP(A169, '1C'!B:Y, 24, 0),)</f>
        <v>5040</v>
      </c>
      <c r="D169" s="80" t="str">
        <f ca="1">IFERROR(
  VLOOKUP(A169, '1C'!B:J, 9, 0),)</f>
        <v>Однофазний стабілізатор напруги Legat-5М призначений для забезпечення високостабільним електроживленням різних споживачів 220В / 50Гц потужністю споживання до 500ВА</v>
      </c>
      <c r="E169" s="81" t="str">
        <f ca="1">IFERROR(
  VLOOKUP(A169, '1C'!B:Q, 15, 0),)</f>
        <v>Інше</v>
      </c>
      <c r="F169" s="82" t="str">
        <f ca="1">IFERROR(
  VLOOKUP(A169, '1C'!B:S, 18, 0),)</f>
        <v>-</v>
      </c>
      <c r="G169" s="83" t="str">
        <f ca="1">IFERROR(
  VLOOKUP(A169, '1C'!B:U, 19, 0),)</f>
        <v>0,5кВт</v>
      </c>
      <c r="H169" s="81" t="str">
        <f ca="1">IFERROR(
  VLOOKUP(A169, '1C'!B:G, 6, 0),)</f>
        <v>NTLG5M000</v>
      </c>
      <c r="I169" s="90">
        <f ca="1">IFERROR( VLOOKUP(A169, '1C'!B:I, 8, 0),)</f>
        <v>0</v>
      </c>
      <c r="J169" s="91" t="str">
        <f ca="1">IFERROR(
  VLOOKUP(A169, '1C'!B:H, 7, 0),)</f>
        <v>9032 89 00 00</v>
      </c>
      <c r="K169" s="86"/>
      <c r="L169" s="92"/>
    </row>
    <row r="170" spans="1:12" ht="39.6">
      <c r="A170" s="93" t="str">
        <f ca="1">IFERROR(__xludf.DUMMYFUNCTION("iferror(IFERROR(
HYPERLINK(
  VLOOKUP(
    INDEX(UNIQUE(FLATTEN({'1C'!$A$2:A200,'1C'!$B$2:B200})), ROW(A168)), 
    '1C'!B:O, 12, 0),
  INDEX(UNIQUE(FLATTEN({'1C'!$A$2:A200,'1C'!$B$2:B200})), ROW(A168))),
MATCH(INDEX(UNIQUE(FLATTEN({'1C'!$A$2:A200,'1C'!$B"&amp;"$2:B200})), ROW(A168)), L$3:L200, 0)
),)"),"LEGAT-35")</f>
        <v>LEGAT-35</v>
      </c>
      <c r="B170" s="89">
        <f ca="1">IFERROR(
  VLOOKUP(A170, '1C'!B:D, 3, 0),)</f>
        <v>9450</v>
      </c>
      <c r="C170" s="89">
        <f ca="1">IFERROR(
  VLOOKUP(A170, '1C'!B:Y, 24, 0),)</f>
        <v>9450</v>
      </c>
      <c r="D170" s="80" t="str">
        <f ca="1">IFERROR(
  VLOOKUP(A170, '1C'!B:J, 9, 0),)</f>
        <v>Однофазний стабілізатор напруги Legat-35 призначений для забезпечення високостабільним електроживленням різних споживачів 220В / 50Гц потужністю споживання до 3500ВА</v>
      </c>
      <c r="E170" s="81" t="str">
        <f ca="1">IFERROR(
  VLOOKUP(A170, '1C'!B:Q, 15, 0),)</f>
        <v>Інше</v>
      </c>
      <c r="F170" s="82" t="str">
        <f ca="1">IFERROR(
  VLOOKUP(A170, '1C'!B:S, 18, 0),)</f>
        <v>-</v>
      </c>
      <c r="G170" s="83" t="str">
        <f ca="1">IFERROR(
  VLOOKUP(A170, '1C'!B:U, 19, 0),)</f>
        <v>3,5кВт</v>
      </c>
      <c r="H170" s="81" t="str">
        <f ca="1">IFERROR(
  VLOOKUP(A170, '1C'!B:G, 6, 0),)</f>
        <v>NTLG35000</v>
      </c>
      <c r="I170" s="90">
        <f ca="1">IFERROR( VLOOKUP(A170, '1C'!B:I, 8, 0),)</f>
        <v>0</v>
      </c>
      <c r="J170" s="91" t="str">
        <f ca="1">IFERROR(
  VLOOKUP(A170, '1C'!B:H, 7, 0),)</f>
        <v>9032 89 00 00</v>
      </c>
      <c r="K170" s="86"/>
      <c r="L170" s="92"/>
    </row>
    <row r="171" spans="1:12" ht="39.6">
      <c r="A171" s="93" t="str">
        <f ca="1">IFERROR(__xludf.DUMMYFUNCTION("iferror(IFERROR(
HYPERLINK(
  VLOOKUP(
    INDEX(UNIQUE(FLATTEN({'1C'!$A$2:A200,'1C'!$B$2:B200})), ROW(A169)), 
    '1C'!B:O, 12, 0),
  INDEX(UNIQUE(FLATTEN({'1C'!$A$2:A200,'1C'!$B$2:B200})), ROW(A169))),
MATCH(INDEX(UNIQUE(FLATTEN({'1C'!$A$2:A200,'1C'!$B"&amp;"$2:B200})), ROW(A169)), L$3:L200, 0)
),)"),"LEGAT-65")</f>
        <v>LEGAT-65</v>
      </c>
      <c r="B171" s="89">
        <f ca="1">IFERROR(
  VLOOKUP(A171, '1C'!B:D, 3, 0),)</f>
        <v>16395</v>
      </c>
      <c r="C171" s="89">
        <f ca="1">IFERROR(
  VLOOKUP(A171, '1C'!B:Y, 24, 0),)</f>
        <v>16395</v>
      </c>
      <c r="D171" s="80" t="str">
        <f ca="1">IFERROR(
  VLOOKUP(A171, '1C'!B:J, 9, 0),)</f>
        <v>Однофазний стабілізатор напруги Legat-65 призначений для забезпечення високостабільним електроживленням різних споживачів 220В / 50Гц потужністю споживання до 6500ВА</v>
      </c>
      <c r="E171" s="81" t="str">
        <f ca="1">IFERROR(
  VLOOKUP(A171, '1C'!B:Q, 15, 0),)</f>
        <v>Інше</v>
      </c>
      <c r="F171" s="82" t="str">
        <f ca="1">IFERROR(
  VLOOKUP(A171, '1C'!B:S, 18, 0),)</f>
        <v>-</v>
      </c>
      <c r="G171" s="83" t="str">
        <f ca="1">IFERROR(
  VLOOKUP(A171, '1C'!B:U, 19, 0),)</f>
        <v>6,5кВт</v>
      </c>
      <c r="H171" s="81" t="str">
        <f ca="1">IFERROR(
  VLOOKUP(A171, '1C'!B:G, 6, 0),)</f>
        <v>NTLG65000</v>
      </c>
      <c r="I171" s="90">
        <f ca="1">IFERROR( VLOOKUP(A171, '1C'!B:I, 8, 0),)</f>
        <v>0</v>
      </c>
      <c r="J171" s="91" t="str">
        <f ca="1">IFERROR(
  VLOOKUP(A171, '1C'!B:H, 7, 0),)</f>
        <v>9032 89 00 00</v>
      </c>
      <c r="K171" s="86"/>
      <c r="L171" s="92"/>
    </row>
    <row r="172" spans="1:12" ht="14.4">
      <c r="A172" s="93" t="str">
        <f ca="1">IFERROR(__xludf.DUMMYFUNCTION("iferror(IFERROR(
HYPERLINK(
  VLOOKUP(
    INDEX(UNIQUE(FLATTEN({'1C'!$A$2:A200,'1C'!$B$2:B200})), ROW(A170)), 
    '1C'!B:O, 12, 0),
  INDEX(UNIQUE(FLATTEN({'1C'!$A$2:A200,'1C'!$B$2:B200})), ROW(A170))),
MATCH(INDEX(UNIQUE(FLATTEN({'1C'!$A$2:A200,'1C'!$B"&amp;"$2:B200})), ROW(A170)), L$3:L200, 0)
),)"),"ДЖЕРЕЛО БЕЗПЕРЕБІЙНОГО ЕЛЕКТРОЖИВЛЕННЯ")</f>
        <v>ДЖЕРЕЛО БЕЗПЕРЕБІЙНОГО ЕЛЕКТРОЖИВЛЕННЯ</v>
      </c>
      <c r="B172" s="89">
        <f ca="1">IFERROR(
  VLOOKUP(A172, '1C'!B:D, 3, 0),)</f>
        <v>0</v>
      </c>
      <c r="C172" s="89"/>
      <c r="D172" s="80">
        <f ca="1">IFERROR(
  VLOOKUP(A172, '1C'!B:J, 9, 0),)</f>
        <v>0</v>
      </c>
      <c r="E172" s="81">
        <f ca="1">IFERROR(
  VLOOKUP(A172, '1C'!B:Q, 15, 0),)</f>
        <v>0</v>
      </c>
      <c r="F172" s="82">
        <f ca="1">IFERROR(
  VLOOKUP(A172, '1C'!B:S, 18, 0),)</f>
        <v>0</v>
      </c>
      <c r="G172" s="83">
        <f ca="1">IFERROR(
  VLOOKUP(A172, '1C'!B:U, 19, 0),)</f>
        <v>0</v>
      </c>
      <c r="H172" s="81">
        <f ca="1">IFERROR(
  VLOOKUP(A172, '1C'!B:G, 6, 0),)</f>
        <v>0</v>
      </c>
      <c r="I172" s="90">
        <f ca="1">IFERROR( VLOOKUP(A172, '1C'!B:I, 8, 0),)</f>
        <v>0</v>
      </c>
      <c r="J172" s="91">
        <f ca="1">IFERROR(
  VLOOKUP(A172, '1C'!B:H, 7, 0),)</f>
        <v>0</v>
      </c>
      <c r="K172" s="86"/>
      <c r="L172" s="92"/>
    </row>
    <row r="173" spans="1:12" ht="14.4">
      <c r="A173" s="88" t="str">
        <f ca="1">IFERROR(__xludf.DUMMYFUNCTION("iferror(IFERROR(
HYPERLINK(
  VLOOKUP(
    INDEX(UNIQUE(FLATTEN({'1C'!$A$2:A200,'1C'!$B$2:B200})), ROW(A171)), 
    '1C'!B:O, 12, 0),
  INDEX(UNIQUE(FLATTEN({'1C'!$A$2:A200,'1C'!$B$2:B200})), ROW(A171))),
MATCH(INDEX(UNIQUE(FLATTEN({'1C'!$A$2:A200,'1C'!$B"&amp;"$2:B200})), ROW(A171)), L$3:L200, 0)
),)"),"UPS -1000")</f>
        <v>UPS -1000</v>
      </c>
      <c r="B173" s="89">
        <f ca="1">IFERROR(
  VLOOKUP(A173, '1C'!B:D, 3, 0),)</f>
        <v>9605</v>
      </c>
      <c r="C173" s="89">
        <f ca="1">IFERROR(
  VLOOKUP(A173, '1C'!B:Y, 24, 0),)</f>
        <v>9605</v>
      </c>
      <c r="D173" s="80" t="str">
        <f ca="1">IFERROR(
  VLOOKUP(A173, '1C'!B:J, 9, 0),)</f>
        <v>Потужність навантаження, 600 ВА</v>
      </c>
      <c r="E173" s="81" t="str">
        <f ca="1">IFERROR(
  VLOOKUP(A173, '1C'!B:Q, 15, 0),)</f>
        <v>Інше</v>
      </c>
      <c r="F173" s="82" t="str">
        <f ca="1">IFERROR(
  VLOOKUP(A173, '1C'!B:S, 18, 0),)</f>
        <v>-</v>
      </c>
      <c r="G173" s="83" t="str">
        <f ca="1">IFERROR(
  VLOOKUP(A173, '1C'!B:U, 19, 0),)</f>
        <v>-</v>
      </c>
      <c r="H173" s="81" t="str">
        <f ca="1">IFERROR(
  VLOOKUP(A173, '1C'!B:G, 6, 0),)</f>
        <v>NTUPS0000</v>
      </c>
      <c r="I173" s="90">
        <f ca="1">IFERROR( VLOOKUP(A173, '1C'!B:I, 8, 0),)</f>
        <v>0</v>
      </c>
      <c r="J173" s="91" t="str">
        <f ca="1">IFERROR(
  VLOOKUP(A173, '1C'!B:H, 7, 0),)</f>
        <v>8504 40 90 90</v>
      </c>
      <c r="K173" s="86"/>
      <c r="L173" s="92"/>
    </row>
    <row r="174" spans="1:12" ht="14.4">
      <c r="A174" s="94" t="str">
        <f ca="1">IFERROR(__xludf.DUMMYFUNCTION("iferror(IFERROR(
HYPERLINK(
  VLOOKUP(
    INDEX(UNIQUE(FLATTEN({'1C'!$A$2:A200,'1C'!$B$2:B200})), ROW(A172)), 
    '1C'!B:O, 12, 0),
  INDEX(UNIQUE(FLATTEN({'1C'!$A$2:A200,'1C'!$B$2:B200})), ROW(A172))),
MATCH(INDEX(UNIQUE(FLATTEN({'1C'!$A$2:A200,'1C'!$B"&amp;"$2:B200})), ROW(A172)), L$3:L200, 0)
),)"),"ДИСТРИБУЦІЯ")</f>
        <v>ДИСТРИБУЦІЯ</v>
      </c>
      <c r="B174" s="89">
        <f ca="1">IFERROR(
  VLOOKUP(A174, '1C'!B:D, 3, 0),)</f>
        <v>0</v>
      </c>
      <c r="C174" s="89"/>
      <c r="D174" s="80">
        <f ca="1">IFERROR(
  VLOOKUP(A174, '1C'!B:J, 9, 0),)</f>
        <v>0</v>
      </c>
      <c r="E174" s="81">
        <f ca="1">IFERROR(
  VLOOKUP(A174, '1C'!B:Q, 15, 0),)</f>
        <v>0</v>
      </c>
      <c r="F174" s="82">
        <f ca="1">IFERROR(
  VLOOKUP(A174, '1C'!B:S, 18, 0),)</f>
        <v>0</v>
      </c>
      <c r="G174" s="95">
        <f ca="1">IFERROR(
  VLOOKUP(A174, '1C'!B:U, 19, 0),)</f>
        <v>0</v>
      </c>
      <c r="H174" s="81">
        <f ca="1">IFERROR(
  VLOOKUP(A174, '1C'!B:G, 6, 0),)</f>
        <v>0</v>
      </c>
      <c r="I174" s="90">
        <f ca="1">IFERROR( VLOOKUP(A174, '1C'!B:I, 8, 0),)</f>
        <v>0</v>
      </c>
      <c r="J174" s="91">
        <f ca="1">IFERROR(
  VLOOKUP(A174, '1C'!B:H, 7, 0),)</f>
        <v>0</v>
      </c>
      <c r="K174" s="96"/>
      <c r="L174" s="92"/>
    </row>
    <row r="175" spans="1:12" ht="26.4">
      <c r="A175" s="97" t="str">
        <f ca="1">IFERROR(__xludf.DUMMYFUNCTION("iferror(IFERROR(
HYPERLINK(
  VLOOKUP(
    INDEX(UNIQUE(FLATTEN({'1C'!$A$2:A200,'1C'!$B$2:B200})), ROW(A173)), 
    '1C'!B:O, 12, 0),
  INDEX(UNIQUE(FLATTEN({'1C'!$A$2:A200,'1C'!$B$2:B200})), ROW(A173))),
MATCH(INDEX(UNIQUE(FLATTEN({'1C'!$A$2:A200,'1C'!$B"&amp;"$2:B200})), ROW(A173)), L$3:L200, 0)
),)"),"ДЖЕРЕЛО БЕЗПЕРЕБІЙНОГО ЕЛЕКТРОЖИВЛЕННЯ 600 ВТ")</f>
        <v>ДЖЕРЕЛО БЕЗПЕРЕБІЙНОГО ЕЛЕКТРОЖИВЛЕННЯ 600 ВТ</v>
      </c>
      <c r="B175" s="89">
        <f ca="1">IFERROR(
  VLOOKUP(A175, '1C'!B:D, 3, 0),)</f>
        <v>5300</v>
      </c>
      <c r="C175" s="89">
        <f ca="1">IFERROR(
  VLOOKUP(A175, '1C'!B:Y, 24, 0),)</f>
        <v>5300</v>
      </c>
      <c r="D175" s="80" t="str">
        <f ca="1">IFERROR(
  VLOOKUP(A175, '1C'!B:J, 9, 0),)</f>
        <v>Джерело безперебійного живлення UPS 600W (140-290V, LCD, 9Аh)</v>
      </c>
      <c r="E175" s="81" t="str">
        <f ca="1">IFERROR(
  VLOOKUP(A175, '1C'!B:Q, 15, 0),)</f>
        <v>Інше</v>
      </c>
      <c r="F175" s="82" t="str">
        <f ca="1">IFERROR(
  VLOOKUP(A175, '1C'!B:S, 18, 0),)</f>
        <v>-</v>
      </c>
      <c r="G175" s="95" t="str">
        <f ca="1">IFERROR(
  VLOOKUP(A175, '1C'!B:U, 19, 0),)</f>
        <v>600 Вт</v>
      </c>
      <c r="H175" s="81" t="str">
        <f ca="1">IFERROR(
  VLOOKUP(A175, '1C'!B:G, 6, 0),)</f>
        <v>-</v>
      </c>
      <c r="I175" s="90">
        <f ca="1">IFERROR( VLOOKUP(A175, '1C'!B:I, 8, 0),)</f>
        <v>0</v>
      </c>
      <c r="J175" s="91" t="str">
        <f ca="1">IFERROR(
  VLOOKUP(A175, '1C'!B:H, 7, 0),)</f>
        <v>8504 40 90 00</v>
      </c>
      <c r="K175" s="86"/>
      <c r="L175" s="92"/>
    </row>
    <row r="176" spans="1:12" ht="26.4">
      <c r="A176" s="97" t="str">
        <f ca="1">IFERROR(__xludf.DUMMYFUNCTION("iferror(IFERROR(
HYPERLINK(
  VLOOKUP(
    INDEX(UNIQUE(FLATTEN({'1C'!$A$2:A200,'1C'!$B$2:B200})), ROW(A174)), 
    '1C'!B:O, 12, 0),
  INDEX(UNIQUE(FLATTEN({'1C'!$A$2:A200,'1C'!$B$2:B200})), ROW(A174))),
MATCH(INDEX(UNIQUE(FLATTEN({'1C'!$A$2:A200,'1C'!$B"&amp;"$2:B200})), ROW(A174)), L$3:L200, 0)
),)"),"ДЖЕРЕЛО БЕЗПЕРЕБІЙНОГО ЕЛЕКТРОЖИВЛЕННЯ 900 ВТ")</f>
        <v>ДЖЕРЕЛО БЕЗПЕРЕБІЙНОГО ЕЛЕКТРОЖИВЛЕННЯ 900 ВТ</v>
      </c>
      <c r="B176" s="89">
        <f ca="1">IFERROR(
  VLOOKUP(A176, '1C'!B:D, 3, 0),)</f>
        <v>6930</v>
      </c>
      <c r="C176" s="89">
        <f ca="1">IFERROR(
  VLOOKUP(A176, '1C'!B:Y, 24, 0),)</f>
        <v>6930</v>
      </c>
      <c r="D176" s="80" t="str">
        <f ca="1">IFERROR(
  VLOOKUP(A176, '1C'!B:J, 9, 0),)</f>
        <v>Джерело безперебійного живлення UPS 900W (140-290V, LCD, 12Аh)</v>
      </c>
      <c r="E176" s="81" t="str">
        <f ca="1">IFERROR(
  VLOOKUP(A176, '1C'!B:Q, 15, 0),)</f>
        <v>Інше</v>
      </c>
      <c r="F176" s="82" t="str">
        <f ca="1">IFERROR(
  VLOOKUP(A176, '1C'!B:S, 18, 0),)</f>
        <v>-</v>
      </c>
      <c r="G176" s="95" t="str">
        <f ca="1">IFERROR(
  VLOOKUP(A176, '1C'!B:U, 19, 0),)</f>
        <v>900 Вт</v>
      </c>
      <c r="H176" s="81" t="str">
        <f ca="1">IFERROR(
  VLOOKUP(A176, '1C'!B:G, 6, 0),)</f>
        <v>-</v>
      </c>
      <c r="I176" s="90">
        <f ca="1">IFERROR( VLOOKUP(A176, '1C'!B:I, 8, 0),)</f>
        <v>0</v>
      </c>
      <c r="J176" s="91" t="str">
        <f ca="1">IFERROR(
  VLOOKUP(A176, '1C'!B:H, 7, 0),)</f>
        <v>8504 40 90 00</v>
      </c>
      <c r="K176" s="86"/>
      <c r="L176" s="92"/>
    </row>
    <row r="177" spans="1:12" ht="26.4">
      <c r="A177" s="97" t="str">
        <f ca="1">IFERROR(__xludf.DUMMYFUNCTION("iferror(IFERROR(
HYPERLINK(
  VLOOKUP(
    INDEX(UNIQUE(FLATTEN({'1C'!$A$2:A200,'1C'!$B$2:B200})), ROW(A175)), 
    '1C'!B:O, 12, 0),
  INDEX(UNIQUE(FLATTEN({'1C'!$A$2:A200,'1C'!$B$2:B200})), ROW(A175))),
MATCH(INDEX(UNIQUE(FLATTEN({'1C'!$A$2:A200,'1C'!$B"&amp;"$2:B200})), ROW(A175)), L$3:L200, 0)
),)"),"ДЖЕРЕЛО БЕЗПЕРЕБІЙНОГО ЕЛЕКТРОЖИВЛЕННЯ 1000 ВТ")</f>
        <v>ДЖЕРЕЛО БЕЗПЕРЕБІЙНОГО ЕЛЕКТРОЖИВЛЕННЯ 1000 ВТ</v>
      </c>
      <c r="B177" s="89">
        <f ca="1">IFERROR(
  VLOOKUP(A177, '1C'!B:D, 3, 0),)</f>
        <v>8250</v>
      </c>
      <c r="C177" s="89">
        <f ca="1">IFERROR(
  VLOOKUP(A177, '1C'!B:Y, 24, 0),)</f>
        <v>8250</v>
      </c>
      <c r="D177" s="80" t="str">
        <f ca="1">IFERROR(
  VLOOKUP(A177, '1C'!B:J, 9, 0),)</f>
        <v>Джерело безперебійного живлення UPS 1000W (140-290V, LCD, 2*7Аh)</v>
      </c>
      <c r="E177" s="81" t="str">
        <f ca="1">IFERROR(
  VLOOKUP(A177, '1C'!B:Q, 15, 0),)</f>
        <v>Інше</v>
      </c>
      <c r="F177" s="82" t="str">
        <f ca="1">IFERROR(
  VLOOKUP(A177, '1C'!B:S, 18, 0),)</f>
        <v>-</v>
      </c>
      <c r="G177" s="95" t="str">
        <f ca="1">IFERROR(
  VLOOKUP(A177, '1C'!B:U, 19, 0),)</f>
        <v>1000 Вт /1500 ВА</v>
      </c>
      <c r="H177" s="81" t="str">
        <f ca="1">IFERROR(
  VLOOKUP(A177, '1C'!B:G, 6, 0),)</f>
        <v>-</v>
      </c>
      <c r="I177" s="90">
        <f ca="1">IFERROR( VLOOKUP(A177, '1C'!B:I, 8, 0),)</f>
        <v>0</v>
      </c>
      <c r="J177" s="91" t="str">
        <f ca="1">IFERROR(
  VLOOKUP(A177, '1C'!B:H, 7, 0),)</f>
        <v>8504 40 90 00</v>
      </c>
      <c r="K177" s="86"/>
      <c r="L177" s="92"/>
    </row>
    <row r="178" spans="1:12" ht="26.4">
      <c r="A178" s="97" t="str">
        <f ca="1">IFERROR(__xludf.DUMMYFUNCTION("iferror(IFERROR(
HYPERLINK(
  VLOOKUP(
    INDEX(UNIQUE(FLATTEN({'1C'!$A$2:A200,'1C'!$B$2:B200})), ROW(A176)), 
    '1C'!B:O, 12, 0),
  INDEX(UNIQUE(FLATTEN({'1C'!$A$2:A200,'1C'!$B$2:B200})), ROW(A176))),
MATCH(INDEX(UNIQUE(FLATTEN({'1C'!$A$2:A200,'1C'!$B"&amp;"$2:B200})), ROW(A176)), L$3:L200, 0)
),)"),"ДЖЕРЕЛО БЕЗПЕРЕБІЙНОГО ЕЛЕКТРОЖИВЛЕННЯ 1200 ВТ")</f>
        <v>ДЖЕРЕЛО БЕЗПЕРЕБІЙНОГО ЕЛЕКТРОЖИВЛЕННЯ 1200 ВТ</v>
      </c>
      <c r="B178" s="89">
        <f ca="1">IFERROR(
  VLOOKUP(A178, '1C'!B:D, 3, 0),)</f>
        <v>10600</v>
      </c>
      <c r="C178" s="89">
        <f ca="1">IFERROR(
  VLOOKUP(A178, '1C'!B:Y, 24, 0),)</f>
        <v>10600</v>
      </c>
      <c r="D178" s="80" t="str">
        <f ca="1">IFERROR(
  VLOOKUP(A178, '1C'!B:J, 9, 0),)</f>
        <v>Джерело безперебійного живлення UPS 1200W (140-290V, LCD, 2*9Аh)</v>
      </c>
      <c r="E178" s="81" t="str">
        <f ca="1">IFERROR(
  VLOOKUP(A178, '1C'!B:Q, 15, 0),)</f>
        <v>Інше</v>
      </c>
      <c r="F178" s="82" t="str">
        <f ca="1">IFERROR(
  VLOOKUP(A178, '1C'!B:S, 18, 0),)</f>
        <v>-</v>
      </c>
      <c r="G178" s="95" t="str">
        <f ca="1">IFERROR(
  VLOOKUP(A178, '1C'!B:U, 19, 0),)</f>
        <v>1200 Вт /2000 ВА</v>
      </c>
      <c r="H178" s="81" t="str">
        <f ca="1">IFERROR(
  VLOOKUP(A178, '1C'!B:G, 6, 0),)</f>
        <v>-</v>
      </c>
      <c r="I178" s="90">
        <f ca="1">IFERROR( VLOOKUP(A178, '1C'!B:I, 8, 0),)</f>
        <v>0</v>
      </c>
      <c r="J178" s="91" t="str">
        <f ca="1">IFERROR(
  VLOOKUP(A178, '1C'!B:H, 7, 0),)</f>
        <v>8504 40 90 00</v>
      </c>
      <c r="K178" s="86"/>
      <c r="L178" s="92"/>
    </row>
    <row r="179" spans="1:12" ht="26.4">
      <c r="A179" s="97" t="str">
        <f ca="1">IFERROR(__xludf.DUMMYFUNCTION("iferror(IFERROR(
HYPERLINK(
  VLOOKUP(
    INDEX(UNIQUE(FLATTEN({'1C'!$A$2:A200,'1C'!$B$2:B200})), ROW(A177)), 
    '1C'!B:O, 12, 0),
  INDEX(UNIQUE(FLATTEN({'1C'!$A$2:A200,'1C'!$B$2:B200})), ROW(A177))),
MATCH(INDEX(UNIQUE(FLATTEN({'1C'!$A$2:A200,'1C'!$B"&amp;"$2:B200})), ROW(A177)), L$3:L200, 0)
),)"),"ДЖЕРЕЛО БЕЗПЕРЕБІЙНОГО ЕЛЕКТРОЖИВЛЕННЯ 1800 ВТ")</f>
        <v>ДЖЕРЕЛО БЕЗПЕРЕБІЙНОГО ЕЛЕКТРОЖИВЛЕННЯ 1800 ВТ</v>
      </c>
      <c r="B179" s="89">
        <f ca="1">IFERROR(
  VLOOKUP(A179, '1C'!B:D, 3, 0),)</f>
        <v>16650</v>
      </c>
      <c r="C179" s="89">
        <f ca="1">IFERROR(
  VLOOKUP(A179, '1C'!B:Y, 24, 0),)</f>
        <v>16650</v>
      </c>
      <c r="D179" s="80" t="str">
        <f ca="1">IFERROR(
  VLOOKUP(A179, '1C'!B:J, 9, 0),)</f>
        <v>Джерело безперебійного живлення UPS 1800W (140-290V, LCD, 4*9Аh)</v>
      </c>
      <c r="E179" s="81" t="str">
        <f ca="1">IFERROR(
  VLOOKUP(A179, '1C'!B:Q, 15, 0),)</f>
        <v>Інше</v>
      </c>
      <c r="F179" s="82" t="str">
        <f ca="1">IFERROR(
  VLOOKUP(A179, '1C'!B:S, 18, 0),)</f>
        <v>-</v>
      </c>
      <c r="G179" s="83" t="str">
        <f ca="1">IFERROR(
  VLOOKUP(A179, '1C'!B:U, 19, 0),)</f>
        <v>1800 Вт /3000 ВА</v>
      </c>
      <c r="H179" s="81" t="str">
        <f ca="1">IFERROR(
  VLOOKUP(A179, '1C'!B:G, 6, 0),)</f>
        <v>-</v>
      </c>
      <c r="I179" s="90">
        <f ca="1">IFERROR( VLOOKUP(A179, '1C'!B:I, 8, 0),)</f>
        <v>0</v>
      </c>
      <c r="J179" s="91" t="str">
        <f ca="1">IFERROR(
  VLOOKUP(A179, '1C'!B:H, 7, 0),)</f>
        <v>8504 40 90 00</v>
      </c>
      <c r="K179" s="86"/>
      <c r="L179" s="92"/>
    </row>
    <row r="180" spans="1:12" ht="26.4">
      <c r="A180" s="97" t="str">
        <f ca="1">IFERROR(__xludf.DUMMYFUNCTION("iferror(IFERROR(
HYPERLINK(
  VLOOKUP(
    INDEX(UNIQUE(FLATTEN({'1C'!$A$2:A200,'1C'!$B$2:B200})), ROW(A178)), 
    '1C'!B:O, 12, 0),
  INDEX(UNIQUE(FLATTEN({'1C'!$A$2:A200,'1C'!$B$2:B200})), ROW(A178))),
MATCH(INDEX(UNIQUE(FLATTEN({'1C'!$A$2:A200,'1C'!$B"&amp;"$2:B200})), ROW(A178)), L$3:L200, 0)
),)"),"ЛІХТАР-ПОВЕРБАНК ІЗ СОНЯЧНОЮ БАТАРЕЄЮ ТА USB")</f>
        <v>ЛІХТАР-ПОВЕРБАНК ІЗ СОНЯЧНОЮ БАТАРЕЄЮ ТА USB</v>
      </c>
      <c r="B180" s="89">
        <f ca="1">IFERROR(
  VLOOKUP(A180, '1C'!B:D, 3, 0),)</f>
        <v>790</v>
      </c>
      <c r="C180" s="89">
        <f ca="1">IFERROR(
  VLOOKUP(A180, '1C'!B:Y, 24, 0),)</f>
        <v>790</v>
      </c>
      <c r="D180" s="80" t="str">
        <f ca="1">IFERROR(
  VLOOKUP(A180, '1C'!B:J, 9, 0),)</f>
        <v>Ліхтар з сонячною АКБ, 6 режимів освітлення, сонячна батарея та USB</v>
      </c>
      <c r="E180" s="81" t="str">
        <f ca="1">IFERROR(
  VLOOKUP(A180, '1C'!B:Q, 15, 0),)</f>
        <v>Інше</v>
      </c>
      <c r="F180" s="82" t="str">
        <f ca="1">IFERROR(
  VLOOKUP(A180, '1C'!B:S, 18, 0),)</f>
        <v>-</v>
      </c>
      <c r="G180" s="83">
        <f ca="1">IFERROR(
  VLOOKUP(A180, '1C'!B:U, 19, 0),)</f>
        <v>0</v>
      </c>
      <c r="H180" s="81" t="str">
        <f ca="1">IFERROR(
  VLOOKUP(A180, '1C'!B:G, 6, 0),)</f>
        <v>-</v>
      </c>
      <c r="I180" s="90">
        <f ca="1">IFERROR( VLOOKUP(A180, '1C'!B:I, 8, 0),)</f>
        <v>0</v>
      </c>
      <c r="J180" s="91" t="str">
        <f ca="1">IFERROR(
  VLOOKUP(A180, '1C'!B:H, 7, 0),)</f>
        <v>8513 10 00 00</v>
      </c>
      <c r="K180" s="86"/>
      <c r="L180" s="92"/>
    </row>
    <row r="181" spans="1:12" ht="26.4">
      <c r="A181" s="97" t="str">
        <f ca="1">IFERROR(__xludf.DUMMYFUNCTION("iferror(IFERROR(
HYPERLINK(
  VLOOKUP(
    INDEX(UNIQUE(FLATTEN({'1C'!$A$2:A200,'1C'!$B$2:B200})), ROW(A179)), 
    '1C'!B:O, 12, 0),
  INDEX(UNIQUE(FLATTEN({'1C'!$A$2:A200,'1C'!$B$2:B200})), ROW(A179))),
MATCH(INDEX(UNIQUE(FLATTEN({'1C'!$A$2:A200,'1C'!$B"&amp;"$2:B200})), ROW(A179)), L$3:L200, 0)
),)"),"ЛІХТАР-ПРОЖЕКТОР, З ВБУДОВАНИМ POWER BANK 10 ВТ")</f>
        <v>ЛІХТАР-ПРОЖЕКТОР, З ВБУДОВАНИМ POWER BANK 10 ВТ</v>
      </c>
      <c r="B181" s="89">
        <f ca="1">IFERROR(
  VLOOKUP(A181, '1C'!B:D, 3, 0),)</f>
        <v>1210</v>
      </c>
      <c r="C181" s="89">
        <f ca="1">IFERROR(
  VLOOKUP(A181, '1C'!B:Y, 24, 0),)</f>
        <v>1210</v>
      </c>
      <c r="D181" s="80" t="str">
        <f ca="1">IFERROR(
  VLOOKUP(A181, '1C'!B:J, 9, 0),)</f>
        <v>Ліхтар з повербанком 10w (132*102*178 мм), 7 режимів освітлення, функція POWER BANK</v>
      </c>
      <c r="E181" s="81" t="str">
        <f ca="1">IFERROR(
  VLOOKUP(A181, '1C'!B:Q, 15, 0),)</f>
        <v>Інше</v>
      </c>
      <c r="F181" s="82" t="str">
        <f ca="1">IFERROR(
  VLOOKUP(A181, '1C'!B:S, 18, 0),)</f>
        <v>-</v>
      </c>
      <c r="G181" s="83">
        <f ca="1">IFERROR(
  VLOOKUP(A181, '1C'!B:U, 19, 0),)</f>
        <v>0</v>
      </c>
      <c r="H181" s="81" t="str">
        <f ca="1">IFERROR(
  VLOOKUP(A181, '1C'!B:G, 6, 0),)</f>
        <v>-</v>
      </c>
      <c r="I181" s="90">
        <f ca="1">IFERROR( VLOOKUP(A181, '1C'!B:I, 8, 0),)</f>
        <v>0</v>
      </c>
      <c r="J181" s="91" t="str">
        <f ca="1">IFERROR(
  VLOOKUP(A181, '1C'!B:H, 7, 0),)</f>
        <v>8513 10 00 00</v>
      </c>
      <c r="K181" s="86"/>
      <c r="L181" s="92"/>
    </row>
    <row r="182" spans="1:12" ht="26.4">
      <c r="A182" s="97" t="str">
        <f ca="1">IFERROR(__xludf.DUMMYFUNCTION("iferror(IFERROR(
HYPERLINK(
  VLOOKUP(
    INDEX(UNIQUE(FLATTEN({'1C'!$A$2:A200,'1C'!$B$2:B200})), ROW(A180)), 
    '1C'!B:O, 12, 0),
  INDEX(UNIQUE(FLATTEN({'1C'!$A$2:A200,'1C'!$B$2:B200})), ROW(A180))),
MATCH(INDEX(UNIQUE(FLATTEN({'1C'!$A$2:A200,'1C'!$B"&amp;"$2:B200})), ROW(A180)), L$3:L200, 0)
),)"),"ЛІХТАР-ПРОЖЕКТОР, З ВБУДОВАНИМ POWER BANK 40 ВТ")</f>
        <v>ЛІХТАР-ПРОЖЕКТОР, З ВБУДОВАНИМ POWER BANK 40 ВТ</v>
      </c>
      <c r="B182" s="89">
        <f ca="1">IFERROR(
  VLOOKUP(A182, '1C'!B:D, 3, 0),)</f>
        <v>2190</v>
      </c>
      <c r="C182" s="89">
        <f ca="1">IFERROR(
  VLOOKUP(A182, '1C'!B:Y, 24, 0),)</f>
        <v>2190</v>
      </c>
      <c r="D182" s="80" t="str">
        <f ca="1">IFERROR(
  VLOOKUP(A182, '1C'!B:J, 9, 0),)</f>
        <v>Ліхтар з повербанком 40w (160*133*192 мм), 7 режимів освітлення, функція POWER BANK</v>
      </c>
      <c r="E182" s="81" t="str">
        <f ca="1">IFERROR(
  VLOOKUP(A182, '1C'!B:Q, 15, 0),)</f>
        <v>Інше</v>
      </c>
      <c r="F182" s="82" t="str">
        <f ca="1">IFERROR(
  VLOOKUP(A182, '1C'!B:S, 18, 0),)</f>
        <v>-</v>
      </c>
      <c r="G182" s="83">
        <f ca="1">IFERROR(
  VLOOKUP(A182, '1C'!B:U, 19, 0),)</f>
        <v>0</v>
      </c>
      <c r="H182" s="81" t="str">
        <f ca="1">IFERROR(
  VLOOKUP(A182, '1C'!B:G, 6, 0),)</f>
        <v>-</v>
      </c>
      <c r="I182" s="90">
        <f ca="1">IFERROR( VLOOKUP(A182, '1C'!B:I, 8, 0),)</f>
        <v>0</v>
      </c>
      <c r="J182" s="91" t="str">
        <f ca="1">IFERROR(
  VLOOKUP(A182, '1C'!B:H, 7, 0),)</f>
        <v>8513 10 00 00</v>
      </c>
      <c r="K182" s="86"/>
      <c r="L182" s="92"/>
    </row>
    <row r="183" spans="1:12" ht="14.4">
      <c r="A183" s="88" t="str">
        <f ca="1">IFERROR(__xludf.DUMMYFUNCTION("iferror(IFERROR(
HYPERLINK(
  VLOOKUP(
    INDEX(UNIQUE(FLATTEN({'1C'!$A$2:A200,'1C'!$B$2:B200})), ROW(A181)), 
    '1C'!B:O, 12, 0),
  INDEX(UNIQUE(FLATTEN({'1C'!$A$2:A200,'1C'!$B$2:B200})), ROW(A181))),
MATCH(INDEX(UNIQUE(FLATTEN({'1C'!$A$2:A200,'1C'!$B"&amp;"$2:B200})), ROW(A181)), L$3:L200, 0)
),)"),"АВТОМОБІЛЬНИЙ ІНВЕРТОР 1000W")</f>
        <v>АВТОМОБІЛЬНИЙ ІНВЕРТОР 1000W</v>
      </c>
      <c r="B183" s="89">
        <f ca="1">IFERROR(
  VLOOKUP(A183, '1C'!B:D, 3, 0),)</f>
        <v>2500</v>
      </c>
      <c r="C183" s="89">
        <f ca="1">IFERROR(
  VLOOKUP(A183, '1C'!B:Y, 24, 0),)</f>
        <v>2500</v>
      </c>
      <c r="D183" s="80" t="str">
        <f ca="1">IFERROR(
  VLOOKUP(A183, '1C'!B:J, 9, 0),)</f>
        <v>Інвертер автомобільний 12/220V, габарити: 170*90*55 мм</v>
      </c>
      <c r="E183" s="81" t="str">
        <f ca="1">IFERROR(
  VLOOKUP(A183, '1C'!B:Q, 15, 0),)</f>
        <v>Інше</v>
      </c>
      <c r="F183" s="82" t="str">
        <f ca="1">IFERROR(
  VLOOKUP(A183, '1C'!B:S, 18, 0),)</f>
        <v>-</v>
      </c>
      <c r="G183" s="83" t="str">
        <f ca="1">IFERROR(
  VLOOKUP(A183, '1C'!B:U, 19, 0),)</f>
        <v>Вхідна напруга: 12V</v>
      </c>
      <c r="H183" s="81" t="str">
        <f ca="1">IFERROR(
  VLOOKUP(A183, '1C'!B:G, 6, 0),)</f>
        <v>-</v>
      </c>
      <c r="I183" s="90">
        <f ca="1">IFERROR( VLOOKUP(A183, '1C'!B:I, 8, 0),)</f>
        <v>0</v>
      </c>
      <c r="J183" s="91" t="str">
        <f ca="1">IFERROR(
  VLOOKUP(A183, '1C'!B:H, 7, 0),)</f>
        <v>8504 40 84 00</v>
      </c>
      <c r="K183" s="86"/>
      <c r="L183" s="92"/>
    </row>
    <row r="184" spans="1:12" ht="14.4">
      <c r="A184" s="93" t="str">
        <f ca="1">IFERROR(__xludf.DUMMYFUNCTION("iferror(IFERROR(
HYPERLINK(
  VLOOKUP(
    INDEX(UNIQUE(FLATTEN({'1C'!$A$2:A200,'1C'!$B$2:B200})), ROW(A182)), 
    '1C'!B:O, 12, 0),
  INDEX(UNIQUE(FLATTEN({'1C'!$A$2:A200,'1C'!$B$2:B200})), ROW(A182))),
MATCH(INDEX(UNIQUE(FLATTEN({'1C'!$A$2:A200,'1C'!$B"&amp;"$2:B200})), ROW(A182)), L$3:L200, 0)
),)"),"БЛОКИ ЖИВЛЕННЯ")</f>
        <v>БЛОКИ ЖИВЛЕННЯ</v>
      </c>
      <c r="B184" s="89">
        <f ca="1">IFERROR(
  VLOOKUP(A184, '1C'!B:D, 3, 0),)</f>
        <v>0</v>
      </c>
      <c r="C184" s="89"/>
      <c r="D184" s="80">
        <f ca="1">IFERROR(
  VLOOKUP(A184, '1C'!B:J, 9, 0),)</f>
        <v>0</v>
      </c>
      <c r="E184" s="81">
        <f ca="1">IFERROR(
  VLOOKUP(A184, '1C'!B:Q, 15, 0),)</f>
        <v>0</v>
      </c>
      <c r="F184" s="82">
        <f ca="1">IFERROR(
  VLOOKUP(A184, '1C'!B:S, 18, 0),)</f>
        <v>0</v>
      </c>
      <c r="G184" s="83">
        <f ca="1">IFERROR(
  VLOOKUP(A184, '1C'!B:U, 19, 0),)</f>
        <v>0</v>
      </c>
      <c r="H184" s="81">
        <f ca="1">IFERROR(
  VLOOKUP(A184, '1C'!B:G, 6, 0),)</f>
        <v>0</v>
      </c>
      <c r="I184" s="90">
        <f ca="1">IFERROR( VLOOKUP(A184, '1C'!B:I, 8, 0),)</f>
        <v>0</v>
      </c>
      <c r="J184" s="91">
        <f ca="1">IFERROR(
  VLOOKUP(A184, '1C'!B:H, 7, 0),)</f>
        <v>0</v>
      </c>
      <c r="K184" s="86"/>
      <c r="L184" s="92"/>
    </row>
    <row r="185" spans="1:12" ht="39.6">
      <c r="A185" s="88" t="str">
        <f ca="1">IFERROR(__xludf.DUMMYFUNCTION("iferror(IFERROR(
HYPERLINK(
  VLOOKUP(
    INDEX(UNIQUE(FLATTEN({'1C'!$A$2:A200,'1C'!$B$2:B200})), ROW(A183)), 
    '1C'!B:O, 12, 0),
  INDEX(UNIQUE(FLATTEN({'1C'!$A$2:A200,'1C'!$B$2:B200})), ROW(A183))),
MATCH(INDEX(UNIQUE(FLATTEN({'1C'!$A$2:A200,'1C'!$B"&amp;"$2:B200})), ROW(A183)), L$3:L200, 0)
),)"),"PS-220/12-3")</f>
        <v>PS-220/12-3</v>
      </c>
      <c r="B185" s="89">
        <f ca="1">IFERROR(
  VLOOKUP(A185, '1C'!B:D, 3, 0),)</f>
        <v>2295</v>
      </c>
      <c r="C185" s="89">
        <f ca="1">IFERROR(
  VLOOKUP(A185, '1C'!B:Y, 24, 0),)</f>
        <v>2295</v>
      </c>
      <c r="D185" s="80" t="str">
        <f ca="1">IFERROR(
  VLOOKUP(A185, '1C'!B:J, 9, 0),)</f>
        <v>Джерела напруги постійного струму серії PS призначені для живлення навантажень постійною стабілізованою напругою, а також можуть використовуватися для заряду акумуляторних батарей.</v>
      </c>
      <c r="E185" s="81" t="str">
        <f ca="1">IFERROR(
  VLOOKUP(A185, '1C'!B:Q, 15, 0),)</f>
        <v>Інше</v>
      </c>
      <c r="F185" s="82">
        <f ca="1">IFERROR(
  VLOOKUP(A185, '1C'!B:S, 18, 0),)</f>
        <v>4</v>
      </c>
      <c r="G185" s="83">
        <f ca="1">IFERROR(
  VLOOKUP(A185, '1C'!B:U, 19, 0),)</f>
        <v>0</v>
      </c>
      <c r="H185" s="81" t="str">
        <f ca="1">IFERROR(
  VLOOKUP(A185, '1C'!B:G, 6, 0),)</f>
        <v>-</v>
      </c>
      <c r="I185" s="90">
        <f ca="1">IFERROR( VLOOKUP(A185, '1C'!B:I, 8, 0),)</f>
        <v>0</v>
      </c>
      <c r="J185" s="91" t="str">
        <f ca="1">IFERROR(
  VLOOKUP(A185, '1C'!B:H, 7, 0),)</f>
        <v>-</v>
      </c>
      <c r="K185" s="86"/>
      <c r="L185" s="92"/>
    </row>
    <row r="186" spans="1:12" ht="39.6">
      <c r="A186" s="88" t="str">
        <f ca="1">IFERROR(__xludf.DUMMYFUNCTION("iferror(IFERROR(
HYPERLINK(
  VLOOKUP(
    INDEX(UNIQUE(FLATTEN({'1C'!$A$2:A200,'1C'!$B$2:B200})), ROW(A184)), 
    '1C'!B:O, 12, 0),
  INDEX(UNIQUE(FLATTEN({'1C'!$A$2:A200,'1C'!$B$2:B200})), ROW(A184))),
MATCH(INDEX(UNIQUE(FLATTEN({'1C'!$A$2:A200,'1C'!$B"&amp;"$2:B200})), ROW(A184)), L$3:L200, 0)
),)"),"PS-220/24-1,5")</f>
        <v>PS-220/24-1,5</v>
      </c>
      <c r="B186" s="89">
        <f ca="1">IFERROR(
  VLOOKUP(A186, '1C'!B:D, 3, 0),)</f>
        <v>2295</v>
      </c>
      <c r="C186" s="89">
        <f ca="1">IFERROR(
  VLOOKUP(A186, '1C'!B:Y, 24, 0),)</f>
        <v>2295</v>
      </c>
      <c r="D186" s="80" t="str">
        <f ca="1">IFERROR(
  VLOOKUP(A186, '1C'!B:J, 9, 0),)</f>
        <v>Джерела напруги постійного струму серії PS призначені для живлення навантажень постійною стабілізованою напругою, а також можуть використовуватися для заряду акумуляторних батарей.</v>
      </c>
      <c r="E186" s="81" t="str">
        <f ca="1">IFERROR(
  VLOOKUP(A186, '1C'!B:Q, 15, 0),)</f>
        <v>Інше</v>
      </c>
      <c r="F186" s="82">
        <f ca="1">IFERROR(
  VLOOKUP(A186, '1C'!B:S, 18, 0),)</f>
        <v>4</v>
      </c>
      <c r="G186" s="83">
        <f ca="1">IFERROR(
  VLOOKUP(A186, '1C'!B:U, 19, 0),)</f>
        <v>0</v>
      </c>
      <c r="H186" s="81" t="str">
        <f ca="1">IFERROR(
  VLOOKUP(A186, '1C'!B:G, 6, 0),)</f>
        <v>-</v>
      </c>
      <c r="I186" s="90">
        <f ca="1">IFERROR( VLOOKUP(A186, '1C'!B:I, 8, 0),)</f>
        <v>0</v>
      </c>
      <c r="J186" s="91" t="str">
        <f ca="1">IFERROR(
  VLOOKUP(A186, '1C'!B:H, 7, 0),)</f>
        <v>-</v>
      </c>
      <c r="K186" s="86"/>
      <c r="L186" s="92"/>
    </row>
    <row r="187" spans="1:12" ht="39.6">
      <c r="A187" s="88" t="str">
        <f ca="1">IFERROR(__xludf.DUMMYFUNCTION("iferror(IFERROR(
HYPERLINK(
  VLOOKUP(
    INDEX(UNIQUE(FLATTEN({'1C'!$A$2:A200,'1C'!$B$2:B200})), ROW(A185)), 
    '1C'!B:O, 12, 0),
  INDEX(UNIQUE(FLATTEN({'1C'!$A$2:A200,'1C'!$B$2:B200})), ROW(A185))),
MATCH(INDEX(UNIQUE(FLATTEN({'1C'!$A$2:A200,'1C'!$B"&amp;"$2:B200})), ROW(A185)), L$3:L200, 0)
),)"),"PS-220/48-0,75")</f>
        <v>PS-220/48-0,75</v>
      </c>
      <c r="B187" s="89">
        <f ca="1">IFERROR(
  VLOOKUP(A187, '1C'!B:D, 3, 0),)</f>
        <v>2295</v>
      </c>
      <c r="C187" s="89">
        <f ca="1">IFERROR(
  VLOOKUP(A187, '1C'!B:Y, 24, 0),)</f>
        <v>2295</v>
      </c>
      <c r="D187" s="80" t="str">
        <f ca="1">IFERROR(
  VLOOKUP(A187, '1C'!B:J, 9, 0),)</f>
        <v>Джерела напруги постійного струму серії PS призначені для живлення навантажень постійною стабілізованою напругою, а також можуть використовуватися для заряду акумуляторних батарей.</v>
      </c>
      <c r="E187" s="81" t="str">
        <f ca="1">IFERROR(
  VLOOKUP(A187, '1C'!B:Q, 15, 0),)</f>
        <v>Інше</v>
      </c>
      <c r="F187" s="82">
        <f ca="1">IFERROR(
  VLOOKUP(A187, '1C'!B:S, 18, 0),)</f>
        <v>4</v>
      </c>
      <c r="G187" s="83">
        <f ca="1">IFERROR(
  VLOOKUP(A187, '1C'!B:U, 19, 0),)</f>
        <v>0</v>
      </c>
      <c r="H187" s="81" t="str">
        <f ca="1">IFERROR(
  VLOOKUP(A187, '1C'!B:G, 6, 0),)</f>
        <v>-</v>
      </c>
      <c r="I187" s="90">
        <f ca="1">IFERROR( VLOOKUP(A187, '1C'!B:I, 8, 0),)</f>
        <v>0</v>
      </c>
      <c r="J187" s="91" t="str">
        <f ca="1">IFERROR(
  VLOOKUP(A187, '1C'!B:H, 7, 0),)</f>
        <v>-</v>
      </c>
      <c r="K187" s="86"/>
      <c r="L187" s="92"/>
    </row>
    <row r="188" spans="1:12" ht="39.6">
      <c r="A188" s="88" t="str">
        <f ca="1">IFERROR(__xludf.DUMMYFUNCTION("iferror(IFERROR(
HYPERLINK(
  VLOOKUP(
    INDEX(UNIQUE(FLATTEN({'1C'!$A$2:A200,'1C'!$B$2:B200})), ROW(A186)), 
    '1C'!B:O, 12, 0),
  INDEX(UNIQUE(FLATTEN({'1C'!$A$2:A200,'1C'!$B$2:B200})), ROW(A186))),
MATCH(INDEX(UNIQUE(FLATTEN({'1C'!$A$2:A200,'1C'!$B"&amp;"$2:B200})), ROW(A186)), L$3:L200, 0)
),)"),"PS-220/5-7")</f>
        <v>PS-220/5-7</v>
      </c>
      <c r="B188" s="89">
        <f ca="1">IFERROR(
  VLOOKUP(A188, '1C'!B:D, 3, 0),)</f>
        <v>2295</v>
      </c>
      <c r="C188" s="89">
        <f ca="1">IFERROR(
  VLOOKUP(A188, '1C'!B:Y, 24, 0),)</f>
        <v>2295</v>
      </c>
      <c r="D188" s="80" t="str">
        <f ca="1">IFERROR(
  VLOOKUP(A188, '1C'!B:J, 9, 0),)</f>
        <v>Джерела напруги постійного струму серії PS призначені для живлення навантажень постійною стабілізованою напругою, а також можуть використовуватися для заряду акумуляторних батарей.</v>
      </c>
      <c r="E188" s="81" t="str">
        <f ca="1">IFERROR(
  VLOOKUP(A188, '1C'!B:Q, 15, 0),)</f>
        <v>Інше</v>
      </c>
      <c r="F188" s="82">
        <f ca="1">IFERROR(
  VLOOKUP(A188, '1C'!B:S, 18, 0),)</f>
        <v>4</v>
      </c>
      <c r="G188" s="83">
        <f ca="1">IFERROR(
  VLOOKUP(A188, '1C'!B:U, 19, 0),)</f>
        <v>0</v>
      </c>
      <c r="H188" s="81" t="str">
        <f ca="1">IFERROR(
  VLOOKUP(A188, '1C'!B:G, 6, 0),)</f>
        <v>-</v>
      </c>
      <c r="I188" s="90">
        <f ca="1">IFERROR( VLOOKUP(A188, '1C'!B:I, 8, 0),)</f>
        <v>0</v>
      </c>
      <c r="J188" s="91" t="str">
        <f ca="1">IFERROR(
  VLOOKUP(A188, '1C'!B:H, 7, 0),)</f>
        <v>-</v>
      </c>
      <c r="K188" s="86"/>
      <c r="L188" s="92"/>
    </row>
    <row r="189" spans="1:12" ht="14.4">
      <c r="A189" s="93" t="str">
        <f ca="1">IFERROR(__xludf.DUMMYFUNCTION("iferror(IFERROR(
HYPERLINK(
  VLOOKUP(
    INDEX(UNIQUE(FLATTEN({'1C'!$A$2:A200,'1C'!$B$2:B200})), ROW(A187)), 
    '1C'!B:O, 12, 0),
  INDEX(UNIQUE(FLATTEN({'1C'!$A$2:A200,'1C'!$B$2:B200})), ROW(A187))),
MATCH(INDEX(UNIQUE(FLATTEN({'1C'!$A$2:A200,'1C'!$B"&amp;"$2:B200})), ROW(A187)), L$3:L200, 0)
),)"),"ШАФИ КЕРУВАННЯ (ПІД ЗАМОВЛЕННЯ)")</f>
        <v>ШАФИ КЕРУВАННЯ (ПІД ЗАМОВЛЕННЯ)</v>
      </c>
      <c r="B189" s="89">
        <f ca="1">IFERROR(
  VLOOKUP(A189, '1C'!B:D, 3, 0),)</f>
        <v>0</v>
      </c>
      <c r="C189" s="89"/>
      <c r="D189" s="80">
        <f ca="1">IFERROR(
  VLOOKUP(A189, '1C'!B:J, 9, 0),)</f>
        <v>0</v>
      </c>
      <c r="E189" s="81">
        <f ca="1">IFERROR(
  VLOOKUP(A189, '1C'!B:Q, 15, 0),)</f>
        <v>0</v>
      </c>
      <c r="F189" s="82">
        <f ca="1">IFERROR(
  VLOOKUP(A189, '1C'!B:S, 18, 0),)</f>
        <v>0</v>
      </c>
      <c r="G189" s="83">
        <f ca="1">IFERROR(
  VLOOKUP(A189, '1C'!B:U, 19, 0),)</f>
        <v>0</v>
      </c>
      <c r="H189" s="81">
        <f ca="1">IFERROR(
  VLOOKUP(A189, '1C'!B:G, 6, 0),)</f>
        <v>0</v>
      </c>
      <c r="I189" s="90">
        <f ca="1">IFERROR( VLOOKUP(A189, '1C'!B:I, 8, 0),)</f>
        <v>0</v>
      </c>
      <c r="J189" s="91">
        <f ca="1">IFERROR(
  VLOOKUP(A189, '1C'!B:H, 7, 0),)</f>
        <v>0</v>
      </c>
      <c r="K189" s="86"/>
      <c r="L189" s="92"/>
    </row>
    <row r="190" spans="1:12" ht="14.4">
      <c r="A190" s="88" t="str">
        <f ca="1">IFERROR(__xludf.DUMMYFUNCTION("iferror(IFERROR(
HYPERLINK(
  VLOOKUP(
    INDEX(UNIQUE(FLATTEN({'1C'!$A$2:A200,'1C'!$B$2:B200})), ROW(A188)), 
    '1C'!B:O, 12, 0),
  INDEX(UNIQUE(FLATTEN({'1C'!$A$2:A200,'1C'!$B$2:B200})), ROW(A188))),
MATCH(INDEX(UNIQUE(FLATTEN({'1C'!$A$2:A200,'1C'!$B"&amp;"$2:B200})), ROW(A188)), L$3:L200, 0)
),)"),"АВР")</f>
        <v>АВР</v>
      </c>
      <c r="B190" s="89" t="str">
        <f ca="1">IFERROR(
  VLOOKUP(A190, '1C'!B:D, 3, 0),)</f>
        <v>під замовлення</v>
      </c>
      <c r="C190" s="89" t="str">
        <f ca="1">IFERROR(
  VLOOKUP(A190, '1C'!B:Y, 24, 0),)</f>
        <v>під замовлення</v>
      </c>
      <c r="D190" s="80" t="str">
        <f ca="1">IFERROR(
  VLOOKUP(A190, '1C'!B:J, 9, 0),)</f>
        <v>Шафа керування автоматичним вводом резерву, під замовлення</v>
      </c>
      <c r="E190" s="81" t="str">
        <f ca="1">IFERROR(
  VLOOKUP(A190, '1C'!B:Q, 15, 0),)</f>
        <v>Шафа</v>
      </c>
      <c r="F190" s="82" t="str">
        <f ca="1">IFERROR(
  VLOOKUP(A190, '1C'!B:S, 18, 0),)</f>
        <v>-</v>
      </c>
      <c r="G190" s="83" t="str">
        <f ca="1">IFERROR(
  VLOOKUP(A190, '1C'!B:U, 19, 0),)</f>
        <v>-</v>
      </c>
      <c r="H190" s="81" t="str">
        <f ca="1">IFERROR(
  VLOOKUP(A190, '1C'!B:G, 6, 0),)</f>
        <v>-</v>
      </c>
      <c r="I190" s="90" t="str">
        <f ca="1">IFERROR( VLOOKUP(A190, '1C'!B:I, 8, 0),)</f>
        <v>-</v>
      </c>
      <c r="J190" s="91" t="str">
        <f ca="1">IFERROR(
  VLOOKUP(A190, '1C'!B:H, 7, 0),)</f>
        <v>-</v>
      </c>
      <c r="K190" s="86"/>
      <c r="L190" s="92"/>
    </row>
    <row r="191" spans="1:12" ht="14.4">
      <c r="A191" s="88" t="str">
        <f ca="1">IFERROR(__xludf.DUMMYFUNCTION("iferror(IFERROR(
HYPERLINK(
  VLOOKUP(
    INDEX(UNIQUE(FLATTEN({'1C'!$A$2:A200,'1C'!$B$2:B200})), ROW(A189)), 
    '1C'!B:O, 12, 0),
  INDEX(UNIQUE(FLATTEN({'1C'!$A$2:A200,'1C'!$B$2:B200})), ROW(A189))),
MATCH(INDEX(UNIQUE(FLATTEN({'1C'!$A$2:A200,'1C'!$B"&amp;"$2:B200})), ROW(A189)), L$3:L200, 0)
),)"),"Освітлення")</f>
        <v>Освітлення</v>
      </c>
      <c r="B191" s="89" t="str">
        <f ca="1">IFERROR(
  VLOOKUP(A191, '1C'!B:D, 3, 0),)</f>
        <v>під замовлення</v>
      </c>
      <c r="C191" s="89" t="str">
        <f ca="1">IFERROR(
  VLOOKUP(A191, '1C'!B:Y, 24, 0),)</f>
        <v>під замовлення</v>
      </c>
      <c r="D191" s="80" t="str">
        <f ca="1">IFERROR(
  VLOOKUP(A191, '1C'!B:J, 9, 0),)</f>
        <v>Шафа керування зовнішнім освітленням, під замовлення</v>
      </c>
      <c r="E191" s="81" t="str">
        <f ca="1">IFERROR(
  VLOOKUP(A191, '1C'!B:Q, 15, 0),)</f>
        <v>Шафа</v>
      </c>
      <c r="F191" s="82" t="str">
        <f ca="1">IFERROR(
  VLOOKUP(A191, '1C'!B:S, 18, 0),)</f>
        <v>-</v>
      </c>
      <c r="G191" s="83" t="str">
        <f ca="1">IFERROR(
  VLOOKUP(A191, '1C'!B:U, 19, 0),)</f>
        <v>-</v>
      </c>
      <c r="H191" s="81" t="str">
        <f ca="1">IFERROR(
  VLOOKUP(A191, '1C'!B:G, 6, 0),)</f>
        <v>-</v>
      </c>
      <c r="I191" s="90" t="str">
        <f ca="1">IFERROR( VLOOKUP(A191, '1C'!B:I, 8, 0),)</f>
        <v>-</v>
      </c>
      <c r="J191" s="91">
        <f ca="1">IFERROR(
  VLOOKUP(A191, '1C'!B:H, 7, 0),)</f>
        <v>0</v>
      </c>
      <c r="K191" s="86"/>
      <c r="L191" s="92"/>
    </row>
    <row r="192" spans="1:12" ht="14.4">
      <c r="A192" s="88" t="str">
        <f ca="1">IFERROR(__xludf.DUMMYFUNCTION("iferror(IFERROR(
HYPERLINK(
  VLOOKUP(
    INDEX(UNIQUE(FLATTEN({'1C'!$A$2:A200,'1C'!$B$2:B200})), ROW(A190)), 
    '1C'!B:O, 12, 0),
  INDEX(UNIQUE(FLATTEN({'1C'!$A$2:A200,'1C'!$B$2:B200})), ROW(A190))),
MATCH(INDEX(UNIQUE(FLATTEN({'1C'!$A$2:A200,'1C'!$B"&amp;"$2:B200})), ROW(A190)), L$3:L200, 0)
),)"),"Комунальне освітлення")</f>
        <v>Комунальне освітлення</v>
      </c>
      <c r="B192" s="89" t="str">
        <f ca="1">IFERROR(
  VLOOKUP(A192, '1C'!B:D, 3, 0),)</f>
        <v>під замовлення</v>
      </c>
      <c r="C192" s="89" t="str">
        <f ca="1">IFERROR(
  VLOOKUP(A192, '1C'!B:Y, 24, 0),)</f>
        <v>під замовлення</v>
      </c>
      <c r="D192" s="80" t="str">
        <f ca="1">IFERROR(
  VLOOKUP(A192, '1C'!B:J, 9, 0),)</f>
        <v>Управління та облік по внутрішніх лініях освітлення overvis lumen</v>
      </c>
      <c r="E192" s="81" t="str">
        <f ca="1">IFERROR(
  VLOOKUP(A192, '1C'!B:Q, 15, 0),)</f>
        <v>Шафа</v>
      </c>
      <c r="F192" s="82" t="str">
        <f ca="1">IFERROR(
  VLOOKUP(A192, '1C'!B:S, 18, 0),)</f>
        <v>-</v>
      </c>
      <c r="G192" s="83" t="str">
        <f ca="1">IFERROR(
  VLOOKUP(A192, '1C'!B:U, 19, 0),)</f>
        <v>-</v>
      </c>
      <c r="H192" s="81" t="str">
        <f ca="1">IFERROR(
  VLOOKUP(A192, '1C'!B:G, 6, 0),)</f>
        <v>-</v>
      </c>
      <c r="I192" s="90" t="str">
        <f ca="1">IFERROR( VLOOKUP(A192, '1C'!B:I, 8, 0),)</f>
        <v>-</v>
      </c>
      <c r="J192" s="91">
        <f ca="1">IFERROR(
  VLOOKUP(A192, '1C'!B:H, 7, 0),)</f>
        <v>0</v>
      </c>
      <c r="K192" s="86"/>
      <c r="L192" s="92"/>
    </row>
    <row r="193" spans="1:12" ht="14.4">
      <c r="A193" s="88" t="str">
        <f ca="1">IFERROR(__xludf.DUMMYFUNCTION("iferror(IFERROR(
HYPERLINK(
  VLOOKUP(
    INDEX(UNIQUE(FLATTEN({'1C'!$A$2:A200,'1C'!$B$2:B200})), ROW(A191)), 
    '1C'!B:O, 12, 0),
  INDEX(UNIQUE(FLATTEN({'1C'!$A$2:A200,'1C'!$B$2:B200})), ROW(A191))),
MATCH(INDEX(UNIQUE(FLATTEN({'1C'!$A$2:A200,'1C'!$B"&amp;"$2:B200})), ROW(A191)), L$3:L200, 0)
),)"),"Насосна станція")</f>
        <v>Насосна станція</v>
      </c>
      <c r="B193" s="89" t="str">
        <f ca="1">IFERROR(
  VLOOKUP(A193, '1C'!B:D, 3, 0),)</f>
        <v>під замовлення</v>
      </c>
      <c r="C193" s="89" t="str">
        <f ca="1">IFERROR(
  VLOOKUP(A193, '1C'!B:Y, 24, 0),)</f>
        <v>під замовлення</v>
      </c>
      <c r="D193" s="80" t="str">
        <f ca="1">IFERROR(
  VLOOKUP(A193, '1C'!B:J, 9, 0),)</f>
        <v>Шафа керування насосною станцією, під замовлення</v>
      </c>
      <c r="E193" s="81" t="str">
        <f ca="1">IFERROR(
  VLOOKUP(A193, '1C'!B:Q, 15, 0),)</f>
        <v>Шафа</v>
      </c>
      <c r="F193" s="82" t="str">
        <f ca="1">IFERROR(
  VLOOKUP(A193, '1C'!B:S, 18, 0),)</f>
        <v>-</v>
      </c>
      <c r="G193" s="83" t="str">
        <f ca="1">IFERROR(
  VLOOKUP(A193, '1C'!B:U, 19, 0),)</f>
        <v>-</v>
      </c>
      <c r="H193" s="81" t="str">
        <f ca="1">IFERROR(
  VLOOKUP(A193, '1C'!B:G, 6, 0),)</f>
        <v>-</v>
      </c>
      <c r="I193" s="90" t="str">
        <f ca="1">IFERROR( VLOOKUP(A193, '1C'!B:I, 8, 0),)</f>
        <v>-</v>
      </c>
      <c r="J193" s="91">
        <f ca="1">IFERROR(
  VLOOKUP(A193, '1C'!B:H, 7, 0),)</f>
        <v>0</v>
      </c>
      <c r="K193" s="86"/>
      <c r="L193" s="92"/>
    </row>
    <row r="194" spans="1:12" ht="14.4">
      <c r="A194" s="88" t="str">
        <f ca="1">IFERROR(__xludf.DUMMYFUNCTION("iferror(IFERROR(
HYPERLINK(
  VLOOKUP(
    INDEX(UNIQUE(FLATTEN({'1C'!$A$2:A200,'1C'!$B$2:B200})), ROW(A192)), 
    '1C'!B:O, 12, 0),
  INDEX(UNIQUE(FLATTEN({'1C'!$A$2:A200,'1C'!$B$2:B200})), ROW(A192))),
MATCH(INDEX(UNIQUE(FLATTEN({'1C'!$A$2:A200,'1C'!$B"&amp;"$2:B200})), ROW(A192)), L$3:L200, 0)
),)"),"Клімат-контроль")</f>
        <v>Клімат-контроль</v>
      </c>
      <c r="B194" s="89" t="str">
        <f ca="1">IFERROR(
  VLOOKUP(A194, '1C'!B:D, 3, 0),)</f>
        <v>під замовлення</v>
      </c>
      <c r="C194" s="89" t="str">
        <f ca="1">IFERROR(
  VLOOKUP(A194, '1C'!B:Y, 24, 0),)</f>
        <v>під замовлення</v>
      </c>
      <c r="D194" s="80" t="str">
        <f ca="1">IFERROR(
  VLOOKUP(A194, '1C'!B:J, 9, 0),)</f>
        <v>Автоматизація клімату, під замовлення</v>
      </c>
      <c r="E194" s="81" t="str">
        <f ca="1">IFERROR(
  VLOOKUP(A194, '1C'!B:Q, 15, 0),)</f>
        <v>Шафа</v>
      </c>
      <c r="F194" s="82" t="str">
        <f ca="1">IFERROR(
  VLOOKUP(A194, '1C'!B:S, 18, 0),)</f>
        <v>-</v>
      </c>
      <c r="G194" s="83" t="str">
        <f ca="1">IFERROR(
  VLOOKUP(A194, '1C'!B:U, 19, 0),)</f>
        <v>-</v>
      </c>
      <c r="H194" s="81" t="str">
        <f ca="1">IFERROR(
  VLOOKUP(A194, '1C'!B:G, 6, 0),)</f>
        <v>-</v>
      </c>
      <c r="I194" s="90" t="str">
        <f ca="1">IFERROR( VLOOKUP(A194, '1C'!B:I, 8, 0),)</f>
        <v>-</v>
      </c>
      <c r="J194" s="91" t="str">
        <f ca="1">IFERROR(
  VLOOKUP(A194, '1C'!B:H, 7, 0),)</f>
        <v>-</v>
      </c>
      <c r="K194" s="86"/>
      <c r="L194" s="92"/>
    </row>
    <row r="195" spans="1:12" ht="14.4">
      <c r="A195" s="88" t="str">
        <f ca="1">IFERROR(__xludf.DUMMYFUNCTION("iferror(IFERROR(
HYPERLINK(
  VLOOKUP(
    INDEX(UNIQUE(FLATTEN({'1C'!$A$2:A200,'1C'!$B$2:B200})), ROW(A193)), 
    '1C'!B:O, 12, 0),
  INDEX(UNIQUE(FLATTEN({'1C'!$A$2:A200,'1C'!$B$2:B200})), ROW(A193))),
MATCH(INDEX(UNIQUE(FLATTEN({'1C'!$A$2:A200,'1C'!$B"&amp;"$2:B200})), ROW(A193)), L$3:L200, 0)
),)"),"Басейн")</f>
        <v>Басейн</v>
      </c>
      <c r="B195" s="89" t="str">
        <f ca="1">IFERROR(
  VLOOKUP(A195, '1C'!B:D, 3, 0),)</f>
        <v>під замовлення</v>
      </c>
      <c r="C195" s="89" t="str">
        <f ca="1">IFERROR(
  VLOOKUP(A195, '1C'!B:Y, 24, 0),)</f>
        <v>під замовлення</v>
      </c>
      <c r="D195" s="80" t="str">
        <f ca="1">IFERROR(
  VLOOKUP(A195, '1C'!B:J, 9, 0),)</f>
        <v>Автоматизація управління басейном, під замовлення</v>
      </c>
      <c r="E195" s="81" t="str">
        <f ca="1">IFERROR(
  VLOOKUP(A195, '1C'!B:Q, 15, 0),)</f>
        <v>Шафа</v>
      </c>
      <c r="F195" s="82" t="str">
        <f ca="1">IFERROR(
  VLOOKUP(A195, '1C'!B:S, 18, 0),)</f>
        <v>-</v>
      </c>
      <c r="G195" s="83" t="str">
        <f ca="1">IFERROR(
  VLOOKUP(A195, '1C'!B:U, 19, 0),)</f>
        <v>-</v>
      </c>
      <c r="H195" s="81" t="str">
        <f ca="1">IFERROR(
  VLOOKUP(A195, '1C'!B:G, 6, 0),)</f>
        <v>-</v>
      </c>
      <c r="I195" s="90" t="str">
        <f ca="1">IFERROR( VLOOKUP(A195, '1C'!B:I, 8, 0),)</f>
        <v>-</v>
      </c>
      <c r="J195" s="91">
        <f ca="1">IFERROR(
  VLOOKUP(A195, '1C'!B:H, 7, 0),)</f>
        <v>0</v>
      </c>
      <c r="K195" s="86"/>
      <c r="L195" s="92"/>
    </row>
    <row r="196" spans="1:12" ht="14.4">
      <c r="A196" s="88" t="str">
        <f ca="1">IFERROR(__xludf.DUMMYFUNCTION("iferror(IFERROR(
HYPERLINK(
  VLOOKUP(
    INDEX(UNIQUE(FLATTEN({'1C'!$A$2:A200,'1C'!$B$2:B200})), ROW(A194)), 
    '1C'!B:O, 12, 0),
  INDEX(UNIQUE(FLATTEN({'1C'!$A$2:A200,'1C'!$B$2:B200})), ROW(A194))),
MATCH(INDEX(UNIQUE(FLATTEN({'1C'!$A$2:A200,'1C'!$B"&amp;"$2:B200})), ROW(A194)), L$3:L200, 0)
),)"),"Холод")</f>
        <v>Холод</v>
      </c>
      <c r="B196" s="89" t="str">
        <f ca="1">IFERROR(
  VLOOKUP(A196, '1C'!B:D, 3, 0),)</f>
        <v>під замовлення</v>
      </c>
      <c r="C196" s="89" t="str">
        <f ca="1">IFERROR(
  VLOOKUP(A196, '1C'!B:Y, 24, 0),)</f>
        <v>під замовлення</v>
      </c>
      <c r="D196" s="80" t="str">
        <f ca="1">IFERROR(
  VLOOKUP(A196, '1C'!B:J, 9, 0),)</f>
        <v>Моніторинг і дистанційне керування для холодильного обладнання</v>
      </c>
      <c r="E196" s="81" t="str">
        <f ca="1">IFERROR(
  VLOOKUP(A196, '1C'!B:Q, 15, 0),)</f>
        <v>Шафа</v>
      </c>
      <c r="F196" s="82" t="str">
        <f ca="1">IFERROR(
  VLOOKUP(A196, '1C'!B:S, 18, 0),)</f>
        <v>-</v>
      </c>
      <c r="G196" s="83" t="str">
        <f ca="1">IFERROR(
  VLOOKUP(A196, '1C'!B:U, 19, 0),)</f>
        <v>-</v>
      </c>
      <c r="H196" s="81" t="str">
        <f ca="1">IFERROR(
  VLOOKUP(A196, '1C'!B:G, 6, 0),)</f>
        <v>-</v>
      </c>
      <c r="I196" s="90" t="str">
        <f ca="1">IFERROR( VLOOKUP(A196, '1C'!B:I, 8, 0),)</f>
        <v>-</v>
      </c>
      <c r="J196" s="91">
        <f ca="1">IFERROR(
  VLOOKUP(A196, '1C'!B:H, 7, 0),)</f>
        <v>0</v>
      </c>
      <c r="K196" s="86"/>
      <c r="L196" s="92"/>
    </row>
    <row r="197" spans="1:12" ht="14.4">
      <c r="A197" s="88" t="str">
        <f ca="1">IFERROR(__xludf.DUMMYFUNCTION("iferror(IFERROR(
HYPERLINK(
  VLOOKUP(
    INDEX(UNIQUE(FLATTEN({'1C'!$A$2:A200,'1C'!$B$2:B200})), ROW(A195)), 
    '1C'!B:O, 12, 0),
  INDEX(UNIQUE(FLATTEN({'1C'!$A$2:A200,'1C'!$B$2:B200})), ROW(A195))),
MATCH(INDEX(UNIQUE(FLATTEN({'1C'!$A$2:A200,'1C'!$B"&amp;"$2:B200})), ROW(A195)), L$3:L200, 0)
),)"),"Розумний будинок")</f>
        <v>Розумний будинок</v>
      </c>
      <c r="B197" s="89" t="str">
        <f ca="1">IFERROR(
  VLOOKUP(A197, '1C'!B:D, 3, 0),)</f>
        <v>під замовлення</v>
      </c>
      <c r="C197" s="89" t="str">
        <f ca="1">IFERROR(
  VLOOKUP(A197, '1C'!B:Y, 24, 0),)</f>
        <v>під замовлення</v>
      </c>
      <c r="D197" s="80" t="str">
        <f ca="1">IFERROR(
  VLOOKUP(A197, '1C'!B:J, 9, 0),)</f>
        <v>Розумний будинок overvis smart house</v>
      </c>
      <c r="E197" s="81" t="str">
        <f ca="1">IFERROR(
  VLOOKUP(A197, '1C'!B:Q, 15, 0),)</f>
        <v>Шафа</v>
      </c>
      <c r="F197" s="82" t="str">
        <f ca="1">IFERROR(
  VLOOKUP(A197, '1C'!B:S, 18, 0),)</f>
        <v>-</v>
      </c>
      <c r="G197" s="83" t="str">
        <f ca="1">IFERROR(
  VLOOKUP(A197, '1C'!B:U, 19, 0),)</f>
        <v>-</v>
      </c>
      <c r="H197" s="81" t="str">
        <f ca="1">IFERROR(
  VLOOKUP(A197, '1C'!B:G, 6, 0),)</f>
        <v>-</v>
      </c>
      <c r="I197" s="90" t="str">
        <f ca="1">IFERROR( VLOOKUP(A197, '1C'!B:I, 8, 0),)</f>
        <v>-</v>
      </c>
      <c r="J197" s="91" t="str">
        <f ca="1">IFERROR(
  VLOOKUP(A197, '1C'!B:H, 7, 0),)</f>
        <v>-</v>
      </c>
      <c r="K197" s="86"/>
      <c r="L197" s="92"/>
    </row>
    <row r="198" spans="1:12" ht="14.4">
      <c r="A198" s="88" t="str">
        <f ca="1">IFERROR(__xludf.DUMMYFUNCTION("iferror(IFERROR(
HYPERLINK(
  VLOOKUP(
    INDEX(UNIQUE(FLATTEN({'1C'!$A$2:A200,'1C'!$B$2:B200})), ROW(A196)), 
    '1C'!B:O, 12, 0),
  INDEX(UNIQUE(FLATTEN({'1C'!$A$2:A200,'1C'!$B$2:B200})), ROW(A196))),
MATCH(INDEX(UNIQUE(FLATTEN({'1C'!$A$2:A200,'1C'!$B"&amp;"$2:B200})), ROW(A196)), L$3:L200, 0)
),)"),"Опалення")</f>
        <v>Опалення</v>
      </c>
      <c r="B198" s="89" t="str">
        <f ca="1">IFERROR(
  VLOOKUP(A198, '1C'!B:D, 3, 0),)</f>
        <v>під замовлення</v>
      </c>
      <c r="C198" s="89" t="str">
        <f ca="1">IFERROR(
  VLOOKUP(A198, '1C'!B:Y, 24, 0),)</f>
        <v>під замовлення</v>
      </c>
      <c r="D198" s="80" t="str">
        <f ca="1">IFERROR(
  VLOOKUP(A198, '1C'!B:J, 9, 0),)</f>
        <v>Управління електроопаленням та водонагрівом overvis electroheat</v>
      </c>
      <c r="E198" s="81" t="str">
        <f ca="1">IFERROR(
  VLOOKUP(A198, '1C'!B:Q, 15, 0),)</f>
        <v>Шафа</v>
      </c>
      <c r="F198" s="82" t="str">
        <f ca="1">IFERROR(
  VLOOKUP(A198, '1C'!B:S, 18, 0),)</f>
        <v>-</v>
      </c>
      <c r="G198" s="83" t="str">
        <f ca="1">IFERROR(
  VLOOKUP(A198, '1C'!B:U, 19, 0),)</f>
        <v>-</v>
      </c>
      <c r="H198" s="81" t="str">
        <f ca="1">IFERROR(
  VLOOKUP(A198, '1C'!B:G, 6, 0),)</f>
        <v>-</v>
      </c>
      <c r="I198" s="90" t="str">
        <f ca="1">IFERROR( VLOOKUP(A198, '1C'!B:I, 8, 0),)</f>
        <v>-</v>
      </c>
      <c r="J198" s="91">
        <f ca="1">IFERROR(
  VLOOKUP(A198, '1C'!B:H, 7, 0),)</f>
        <v>0</v>
      </c>
      <c r="K198" s="86"/>
      <c r="L198" s="92"/>
    </row>
    <row r="199" spans="1:12" ht="14.4">
      <c r="A199" s="88" t="str">
        <f ca="1">IFERROR(__xludf.DUMMYFUNCTION("iferror(IFERROR(
HYPERLINK(
  VLOOKUP(
    INDEX(UNIQUE(FLATTEN({'1C'!$A$2:A200,'1C'!$B$2:B200})), ROW(A197)), 
    '1C'!B:O, 12, 0),
  INDEX(UNIQUE(FLATTEN({'1C'!$A$2:A200,'1C'!$B$2:B200})), ROW(A197))),
MATCH(INDEX(UNIQUE(FLATTEN({'1C'!$A$2:A200,'1C'!$B"&amp;"$2:B200})), ROW(A197)), L$3:L200, 0)
),)"),"Котедж")</f>
        <v>Котедж</v>
      </c>
      <c r="B199" s="89" t="str">
        <f ca="1">IFERROR(
  VLOOKUP(A199, '1C'!B:D, 3, 0),)</f>
        <v>під замовлення</v>
      </c>
      <c r="C199" s="89" t="str">
        <f ca="1">IFERROR(
  VLOOKUP(A199, '1C'!B:Y, 24, 0),)</f>
        <v>під замовлення</v>
      </c>
      <c r="D199" s="80" t="str">
        <f ca="1">IFERROR(
  VLOOKUP(A199, '1C'!B:J, 9, 0),)</f>
        <v>Управління та захист електромережі котеджного селища overvis village</v>
      </c>
      <c r="E199" s="81" t="str">
        <f ca="1">IFERROR(
  VLOOKUP(A199, '1C'!B:Q, 15, 0),)</f>
        <v>Шафа</v>
      </c>
      <c r="F199" s="82" t="str">
        <f ca="1">IFERROR(
  VLOOKUP(A199, '1C'!B:S, 18, 0),)</f>
        <v>-</v>
      </c>
      <c r="G199" s="83" t="str">
        <f ca="1">IFERROR(
  VLOOKUP(A199, '1C'!B:U, 19, 0),)</f>
        <v>-</v>
      </c>
      <c r="H199" s="81" t="str">
        <f ca="1">IFERROR(
  VLOOKUP(A199, '1C'!B:G, 6, 0),)</f>
        <v>-</v>
      </c>
      <c r="I199" s="90" t="str">
        <f ca="1">IFERROR( VLOOKUP(A199, '1C'!B:I, 8, 0),)</f>
        <v>-</v>
      </c>
      <c r="J199" s="91">
        <f ca="1">IFERROR(
  VLOOKUP(A199, '1C'!B:H, 7, 0),)</f>
        <v>0</v>
      </c>
      <c r="K199" s="86"/>
      <c r="L199" s="92"/>
    </row>
    <row r="200" spans="1:12" ht="14.4">
      <c r="A200" s="93" t="str">
        <f ca="1">IFERROR(__xludf.DUMMYFUNCTION("iferror(IFERROR(
HYPERLINK(
  VLOOKUP(
    INDEX(UNIQUE(FLATTEN({'1C'!$A$2:A200,'1C'!$B$2:B200})), ROW(A198)), 
    '1C'!B:O, 12, 0),
  INDEX(UNIQUE(FLATTEN({'1C'!$A$2:A200,'1C'!$B$2:B200})), ROW(A198))),
MATCH(INDEX(UNIQUE(FLATTEN({'1C'!$A$2:A200,'1C'!$B"&amp;"$2:B200})), ROW(A198)), L$3:L200, 0)
),)"),"")</f>
        <v/>
      </c>
      <c r="B200" s="89">
        <f ca="1">IFERROR(
  VLOOKUP(A200, '1C'!B:D, 3, 0),)</f>
        <v>0</v>
      </c>
      <c r="C200" s="89"/>
      <c r="D200" s="80">
        <f ca="1">IFERROR(
  VLOOKUP(A200, '1C'!B:J, 9, 0),)</f>
        <v>0</v>
      </c>
      <c r="E200" s="81">
        <f ca="1">IFERROR(
  VLOOKUP(A200, '1C'!B:Q, 15, 0),)</f>
        <v>0</v>
      </c>
      <c r="F200" s="82">
        <f ca="1">IFERROR(
  VLOOKUP(A200, '1C'!B:S, 18, 0),)</f>
        <v>0</v>
      </c>
      <c r="G200" s="83">
        <f ca="1">IFERROR(
  VLOOKUP(A200, '1C'!B:U, 19, 0),)</f>
        <v>0</v>
      </c>
      <c r="H200" s="81">
        <f ca="1">IFERROR(
  VLOOKUP(A200, '1C'!B:G, 6, 0),)</f>
        <v>0</v>
      </c>
      <c r="I200" s="90">
        <f ca="1">IFERROR( VLOOKUP(A200, '1C'!B:I, 8, 0),)</f>
        <v>0</v>
      </c>
      <c r="J200" s="91">
        <f ca="1">IFERROR(
  VLOOKUP(A200, '1C'!B:H, 7, 0),)</f>
        <v>0</v>
      </c>
      <c r="K200" s="86"/>
      <c r="L200" s="92"/>
    </row>
  </sheetData>
  <mergeCells count="3">
    <mergeCell ref="A1:D1"/>
    <mergeCell ref="E1:G1"/>
    <mergeCell ref="H1:J1"/>
  </mergeCells>
  <conditionalFormatting sqref="A3:J200">
    <cfRule type="expression" dxfId="5" priority="1">
      <formula>NOT(ISERROR(MATCH($A3, $L$3:L200, 0)))</formula>
    </cfRule>
  </conditionalFormatting>
  <conditionalFormatting sqref="C4:C199">
    <cfRule type="cellIs" dxfId="4" priority="2" operator="notEqual">
      <formula>B4</formula>
    </cfRule>
  </conditionalFormatting>
  <pageMargins left="0.7" right="0.7" top="0.75" bottom="0.75" header="0" footer="0"/>
  <pageSetup paperSize="9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0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4140625" defaultRowHeight="15" customHeight="1"/>
  <cols>
    <col min="1" max="1" width="40" customWidth="1"/>
    <col min="2" max="3" width="16.88671875" customWidth="1"/>
    <col min="4" max="4" width="90.33203125" customWidth="1"/>
    <col min="5" max="5" width="14.44140625" customWidth="1"/>
    <col min="6" max="6" width="8.5546875" customWidth="1"/>
    <col min="7" max="7" width="23.109375" customWidth="1"/>
    <col min="8" max="8" width="13.44140625" customWidth="1"/>
    <col min="9" max="9" width="15.44140625" customWidth="1"/>
    <col min="10" max="10" width="15" customWidth="1"/>
    <col min="11" max="12" width="15" hidden="1" customWidth="1"/>
  </cols>
  <sheetData>
    <row r="1" spans="1:12" ht="24" customHeight="1">
      <c r="A1" s="116" t="str">
        <f>HYPERLINK("https://novatek-electro.com/en/", "novatek-electro.com")</f>
        <v>novatek-electro.com</v>
      </c>
      <c r="B1" s="113"/>
      <c r="C1" s="113"/>
      <c r="D1" s="113"/>
      <c r="E1" s="114" t="str">
        <f>"+44 208 089 2027"</f>
        <v>+44 208 089 2027</v>
      </c>
      <c r="F1" s="113"/>
      <c r="G1" s="113"/>
      <c r="H1" s="117" t="str">
        <f>HYPERLINK("mailto:sales@novatek-electro.com", "sales@novatek-electro.com")</f>
        <v>sales@novatek-electro.com</v>
      </c>
      <c r="I1" s="113"/>
      <c r="J1" s="113"/>
      <c r="K1" s="68"/>
      <c r="L1" s="69"/>
    </row>
    <row r="2" spans="1:12" ht="24">
      <c r="A2" s="98" t="s">
        <v>2</v>
      </c>
      <c r="B2" s="72" t="s">
        <v>1372</v>
      </c>
      <c r="C2" s="72" t="s">
        <v>1373</v>
      </c>
      <c r="D2" s="70" t="s">
        <v>1374</v>
      </c>
      <c r="E2" s="99" t="s">
        <v>16</v>
      </c>
      <c r="F2" s="100" t="s">
        <v>1375</v>
      </c>
      <c r="G2" s="101" t="s">
        <v>20</v>
      </c>
      <c r="H2" s="99" t="s">
        <v>1376</v>
      </c>
      <c r="I2" s="102" t="s">
        <v>1377</v>
      </c>
      <c r="J2" s="103" t="s">
        <v>1378</v>
      </c>
      <c r="K2" s="104"/>
      <c r="L2" s="105"/>
    </row>
    <row r="3" spans="1:12" ht="14.4">
      <c r="A3" s="78" t="str">
        <f ca="1">IFERROR(__xludf.DUMMYFUNCTION("iferror(IFERROR(
HYPERLINK(
  VLOOKUP(
    INDEX(UNIQUE(FLATTEN({'1C'!$W$2:W200,'1C'!$C$2:C200})), ROW(A1)), 
    '1C'!C:O, 12, 0),
  INDEX(UNIQUE(FLATTEN({'1C'!$W$2:W200,'1C'!$C$2:C200})), ROW(A1))),
MATCH(INDEX(UNIQUE(FLATTEN({'1C'!$W$2:W200,'1C'!$C$2:C"&amp;"200})), ROW(A1)), L$3:L200, 0)
),)"),"Three-phase voltage relays")</f>
        <v>Three-phase voltage relays</v>
      </c>
      <c r="B3" s="106">
        <f ca="1">IFERROR(
  VLOOKUP(A3, '1C'!C:E, 3, 0),)</f>
        <v>0</v>
      </c>
      <c r="C3" s="106"/>
      <c r="D3" s="80">
        <f ca="1">IFERROR(
  VLOOKUP(A3, '1C'!C:K, 9, 0),)</f>
        <v>0</v>
      </c>
      <c r="E3" s="81">
        <f ca="1">IFERROR(
  VLOOKUP(A3, '1C'!C:Q, 15, 0),)</f>
        <v>0</v>
      </c>
      <c r="F3" s="82">
        <f ca="1">IFERROR(
  VLOOKUP(A3, '1C'!C:S, 17, 0),)</f>
        <v>0</v>
      </c>
      <c r="G3" s="83">
        <f ca="1">IFERROR(
  VLOOKUP(A3, '1C'!C:U, 19, 0),)</f>
        <v>0</v>
      </c>
      <c r="H3" s="81">
        <f ca="1">IFERROR(
  VLOOKUP(A3, '1C'!C:G, 5, 0),)</f>
        <v>0</v>
      </c>
      <c r="I3" s="84">
        <f ca="1">IFERROR( VLOOKUP(A3, '1C'!C:I, 7, 0),)</f>
        <v>0</v>
      </c>
      <c r="J3" s="85">
        <f ca="1">IFERROR(
  VLOOKUP(A3, '1C'!C:H, 6, 0),)</f>
        <v>0</v>
      </c>
      <c r="K3" s="86"/>
      <c r="L3" s="107" t="str">
        <f ca="1">IFERROR(__xludf.DUMMYFUNCTION("UNIQUE('1C'!W2:W200)"),"Three-phase voltage relays")</f>
        <v>Three-phase voltage relays</v>
      </c>
    </row>
    <row r="4" spans="1:12" ht="26.4">
      <c r="A4" s="88" t="str">
        <f ca="1">IFERROR(__xludf.DUMMYFUNCTION("iferror(IFERROR(
HYPERLINK(
  VLOOKUP(
    INDEX(UNIQUE(FLATTEN({'1C'!$W$2:W200,'1C'!$C$2:C200})), ROW(A2)), 
    '1C'!C:O, 12, 0),
  INDEX(UNIQUE(FLATTEN({'1C'!$W$2:W200,'1C'!$C$2:C200})), ROW(A2))),
MATCH(INDEX(UNIQUE(FLATTEN({'1C'!$W$2:W200,'1C'!$C$2:C"&amp;"200})), ROW(A2)), L$3:L200, 0)
),)"),"RNPP-301")</f>
        <v>RNPP-301</v>
      </c>
      <c r="B4" s="108">
        <f ca="1">IFERROR(
  VLOOKUP(A4, '1C'!C:E, 3, 0),)</f>
        <v>33</v>
      </c>
      <c r="C4" s="108">
        <f ca="1">IFERROR(
  VLOOKUP(A4, '1C'!C:Z, 24, 0),)</f>
        <v>33</v>
      </c>
      <c r="D4" s="80" t="str">
        <f ca="1">IFERROR(
  VLOOKUP(A4, '1C'!C:K, 9, 0),)</f>
        <v>Sequences, phase skew and break, starter control, separate regulation of voltage thresholds and phase skew</v>
      </c>
      <c r="E4" s="81" t="str">
        <f ca="1">IFERROR(
  VLOOKUP(A4, '1C'!C:Q, 15, 0),)</f>
        <v>DIN</v>
      </c>
      <c r="F4" s="82">
        <f ca="1">IFERROR(
  VLOOKUP(A4, '1C'!C:S, 17, 0),)</f>
        <v>4</v>
      </c>
      <c r="G4" s="83" t="str">
        <f ca="1">IFERROR(
  VLOOKUP(A4, '1C'!C:U, 19, 0),)</f>
        <v>Contactor</v>
      </c>
      <c r="H4" s="81" t="str">
        <f ca="1">IFERROR(
  VLOOKUP(A4, '1C'!C:G, 5, 0),)</f>
        <v>NTRNP3010</v>
      </c>
      <c r="I4" s="90">
        <f ca="1">IFERROR( VLOOKUP(A4, '1C'!C:I, 7, 0),)</f>
        <v>4820122950412</v>
      </c>
      <c r="J4" s="91" t="str">
        <f ca="1">IFERROR(
  VLOOKUP(A4, '1C'!C:H, 6, 0),)</f>
        <v>8536 49 00 90</v>
      </c>
      <c r="K4" s="86"/>
      <c r="L4" s="107" t="str">
        <f ca="1">IFERROR(__xludf.DUMMYFUNCTION("""COMPUTED_VALUE"""),"Timers")</f>
        <v>Timers</v>
      </c>
    </row>
    <row r="5" spans="1:12" ht="26.4">
      <c r="A5" s="88" t="str">
        <f ca="1">IFERROR(__xludf.DUMMYFUNCTION("iferror(IFERROR(
HYPERLINK(
  VLOOKUP(
    INDEX(UNIQUE(FLATTEN({'1C'!$W$2:W200,'1C'!$C$2:C200})), ROW(A3)), 
    '1C'!C:O, 12, 0),
  INDEX(UNIQUE(FLATTEN({'1C'!$W$2:W200,'1C'!$C$2:C200})), ROW(A3))),
MATCH(INDEX(UNIQUE(FLATTEN({'1C'!$W$2:W200,'1C'!$C$2:C"&amp;"200})), ROW(A3)), L$3:L200, 0)
),)"),"RNPP-302")</f>
        <v>RNPP-302</v>
      </c>
      <c r="B5" s="108">
        <f ca="1">IFERROR(
  VLOOKUP(A5, '1C'!C:E, 3, 0),)</f>
        <v>53</v>
      </c>
      <c r="C5" s="108">
        <f ca="1">IFERROR(
  VLOOKUP(A5, '1C'!C:Z, 24, 0),)</f>
        <v>53</v>
      </c>
      <c r="D5" s="80" t="str">
        <f ca="1">IFERROR(
  VLOOKUP(A5, '1C'!C:K, 9, 0),)</f>
        <v>Sequences, phase skew and break, starter control, indication, adjustment of operating time of all types of protection</v>
      </c>
      <c r="E5" s="81" t="str">
        <f ca="1">IFERROR(
  VLOOKUP(A5, '1C'!C:Q, 15, 0),)</f>
        <v>DIN</v>
      </c>
      <c r="F5" s="82">
        <f ca="1">IFERROR(
  VLOOKUP(A5, '1C'!C:S, 17, 0),)</f>
        <v>4</v>
      </c>
      <c r="G5" s="83" t="str">
        <f ca="1">IFERROR(
  VLOOKUP(A5, '1C'!C:U, 19, 0),)</f>
        <v>Contactor</v>
      </c>
      <c r="H5" s="81" t="str">
        <f ca="1">IFERROR(
  VLOOKUP(A5, '1C'!C:G, 5, 0),)</f>
        <v>NTRNP3020</v>
      </c>
      <c r="I5" s="90">
        <f ca="1">IFERROR( VLOOKUP(A5, '1C'!C:I, 7, 0),)</f>
        <v>4820122950429</v>
      </c>
      <c r="J5" s="91" t="str">
        <f ca="1">IFERROR(
  VLOOKUP(A5, '1C'!C:H, 6, 0),)</f>
        <v>8536 49 00 90</v>
      </c>
      <c r="K5" s="86"/>
      <c r="L5" s="107" t="str">
        <f ca="1">IFERROR(__xludf.DUMMYFUNCTION("""COMPUTED_VALUE"""),"Time relay")</f>
        <v>Time relay</v>
      </c>
    </row>
    <row r="6" spans="1:12" ht="26.4">
      <c r="A6" s="93" t="str">
        <f ca="1">IFERROR(__xludf.DUMMYFUNCTION("iferror(IFERROR(
HYPERLINK(
  VLOOKUP(
    INDEX(UNIQUE(FLATTEN({'1C'!$W$2:W200,'1C'!$C$2:C200})), ROW(A4)), 
    '1C'!C:O, 12, 0),
  INDEX(UNIQUE(FLATTEN({'1C'!$W$2:W200,'1C'!$C$2:C200})), ROW(A4))),
MATCH(INDEX(UNIQUE(FLATTEN({'1C'!$W$2:W200,'1C'!$C$2:C"&amp;"200})), ROW(A4)), L$3:L200, 0)
),)"),"RNPP-302М1")</f>
        <v>RNPP-302М1</v>
      </c>
      <c r="B6" s="108">
        <f ca="1">IFERROR(
  VLOOKUP(A6, '1C'!C:E, 3, 0),)</f>
        <v>53</v>
      </c>
      <c r="C6" s="108">
        <f ca="1">IFERROR(
  VLOOKUP(A6, '1C'!C:Z, 24, 0),)</f>
        <v>53</v>
      </c>
      <c r="D6" s="80" t="str">
        <f ca="1">IFERROR(
  VLOOKUP(A6, '1C'!C:K, 9, 0),)</f>
        <v>Sequences, phase skew and break, starter control, indication, adjustment of operating time of all types of protection</v>
      </c>
      <c r="E6" s="81" t="str">
        <f ca="1">IFERROR(
  VLOOKUP(A6, '1C'!C:Q, 15, 0),)</f>
        <v>DIN</v>
      </c>
      <c r="F6" s="82">
        <f ca="1">IFERROR(
  VLOOKUP(A6, '1C'!C:S, 17, 0),)</f>
        <v>2</v>
      </c>
      <c r="G6" s="83" t="str">
        <f ca="1">IFERROR(
  VLOOKUP(A6, '1C'!C:U, 19, 0),)</f>
        <v>Contactor</v>
      </c>
      <c r="H6" s="81" t="str">
        <f ca="1">IFERROR(
  VLOOKUP(A6, '1C'!C:G, 5, 0),)</f>
        <v>NTRNP302М</v>
      </c>
      <c r="I6" s="90">
        <f ca="1">IFERROR( VLOOKUP(A6, '1C'!C:I, 7, 0),)</f>
        <v>0</v>
      </c>
      <c r="J6" s="91" t="str">
        <f ca="1">IFERROR(
  VLOOKUP(A6, '1C'!C:H, 6, 0),)</f>
        <v>8536 49 00 90</v>
      </c>
      <c r="K6" s="86"/>
      <c r="L6" s="107" t="str">
        <f ca="1">IFERROR(__xludf.DUMMYFUNCTION("""COMPUTED_VALUE"""),"Phase switches")</f>
        <v>Phase switches</v>
      </c>
    </row>
    <row r="7" spans="1:12" ht="14.4">
      <c r="A7" s="88" t="str">
        <f ca="1">IFERROR(__xludf.DUMMYFUNCTION("iferror(IFERROR(
HYPERLINK(
  VLOOKUP(
    INDEX(UNIQUE(FLATTEN({'1C'!$W$2:W200,'1C'!$C$2:C200})), ROW(A5)), 
    '1C'!C:O, 12, 0),
  INDEX(UNIQUE(FLATTEN({'1C'!$W$2:W200,'1C'!$C$2:C200})), ROW(A5))),
MATCH(INDEX(UNIQUE(FLATTEN({'1C'!$W$2:W200,'1C'!$C$2:C"&amp;"200})), ROW(A5)), L$3:L200, 0)
),)"),"RNPP-311.1")</f>
        <v>RNPP-311.1</v>
      </c>
      <c r="B7" s="108">
        <f ca="1">IFERROR(
  VLOOKUP(A7, '1C'!C:E, 3, 0),)</f>
        <v>27</v>
      </c>
      <c r="C7" s="108">
        <f ca="1">IFERROR(
  VLOOKUP(A7, '1C'!C:Z, 24, 0),)</f>
        <v>27</v>
      </c>
      <c r="D7" s="80" t="str">
        <f ca="1">IFERROR(
  VLOOKUP(A7, '1C'!C:K, 9, 0),)</f>
        <v>Sequences, phase skew and break, regulation of only % of rated voltage</v>
      </c>
      <c r="E7" s="81" t="str">
        <f ca="1">IFERROR(
  VLOOKUP(A7, '1C'!C:Q, 15, 0),)</f>
        <v>DIN</v>
      </c>
      <c r="F7" s="82">
        <f ca="1">IFERROR(
  VLOOKUP(A7, '1C'!C:S, 17, 0),)</f>
        <v>2</v>
      </c>
      <c r="G7" s="83" t="str">
        <f ca="1">IFERROR(
  VLOOKUP(A7, '1C'!C:U, 19, 0),)</f>
        <v>Contactor</v>
      </c>
      <c r="H7" s="81" t="str">
        <f ca="1">IFERROR(
  VLOOKUP(A7, '1C'!C:G, 5, 0),)</f>
        <v>NTRNP3111</v>
      </c>
      <c r="I7" s="90">
        <f ca="1">IFERROR( VLOOKUP(A7, '1C'!C:I, 7, 0),)</f>
        <v>4820122950436</v>
      </c>
      <c r="J7" s="91" t="str">
        <f ca="1">IFERROR(
  VLOOKUP(A7, '1C'!C:H, 6, 0),)</f>
        <v>8536 49 00 90</v>
      </c>
      <c r="K7" s="86"/>
      <c r="L7" s="107" t="str">
        <f ca="1">IFERROR(__xludf.DUMMYFUNCTION("""COMPUTED_VALUE"""),"Electric motors protection units")</f>
        <v>Electric motors protection units</v>
      </c>
    </row>
    <row r="8" spans="1:12" ht="14.4">
      <c r="A8" s="88" t="str">
        <f ca="1">IFERROR(__xludf.DUMMYFUNCTION("iferror(IFERROR(
HYPERLINK(
  VLOOKUP(
    INDEX(UNIQUE(FLATTEN({'1C'!$W$2:W200,'1C'!$C$2:C200})), ROW(A6)), 
    '1C'!C:O, 12, 0),
  INDEX(UNIQUE(FLATTEN({'1C'!$W$2:W200,'1C'!$C$2:C200})), ROW(A6))),
MATCH(INDEX(UNIQUE(FLATTEN({'1C'!$W$2:W200,'1C'!$C$2:C"&amp;"200})), ROW(A6)), L$3:L200, 0)
),)"),"RNPP-311m")</f>
        <v>RNPP-311m</v>
      </c>
      <c r="B8" s="108">
        <f ca="1">IFERROR(
  VLOOKUP(A8, '1C'!C:E, 3, 0),)</f>
        <v>32</v>
      </c>
      <c r="C8" s="108">
        <f ca="1">IFERROR(
  VLOOKUP(A8, '1C'!C:Z, 24, 0),)</f>
        <v>32</v>
      </c>
      <c r="D8" s="80" t="str">
        <f ca="1">IFERROR(
  VLOOKUP(A8, '1C'!C:K, 9, 0),)</f>
        <v>Analog of RNPP-311, regulation of time of AR and its operation, on / off of protections</v>
      </c>
      <c r="E8" s="81" t="str">
        <f ca="1">IFERROR(
  VLOOKUP(A8, '1C'!C:Q, 15, 0),)</f>
        <v>DIN</v>
      </c>
      <c r="F8" s="82">
        <f ca="1">IFERROR(
  VLOOKUP(A8, '1C'!C:S, 17, 0),)</f>
        <v>2</v>
      </c>
      <c r="G8" s="83" t="str">
        <f ca="1">IFERROR(
  VLOOKUP(A8, '1C'!C:U, 19, 0),)</f>
        <v>Contactor</v>
      </c>
      <c r="H8" s="81" t="str">
        <f ca="1">IFERROR(
  VLOOKUP(A8, '1C'!C:G, 5, 0),)</f>
        <v>NTRNP311M</v>
      </c>
      <c r="I8" s="90">
        <f ca="1">IFERROR( VLOOKUP(A8, '1C'!C:I, 7, 0),)</f>
        <v>4820122950443</v>
      </c>
      <c r="J8" s="91" t="str">
        <f ca="1">IFERROR(
  VLOOKUP(A8, '1C'!C:H, 6, 0),)</f>
        <v>8536 49 00 90</v>
      </c>
      <c r="K8" s="86"/>
      <c r="L8" s="107" t="str">
        <f ca="1">IFERROR(__xludf.DUMMYFUNCTION("""COMPUTED_VALUE"""),"Power limiters")</f>
        <v>Power limiters</v>
      </c>
    </row>
    <row r="9" spans="1:12" ht="14.4">
      <c r="A9" s="93" t="str">
        <f ca="1">IFERROR(__xludf.DUMMYFUNCTION("iferror(IFERROR(
HYPERLINK(
  VLOOKUP(
    INDEX(UNIQUE(FLATTEN({'1C'!$W$2:W200,'1C'!$C$2:C200})), ROW(A7)), 
    '1C'!C:O, 12, 0),
  INDEX(UNIQUE(FLATTEN({'1C'!$W$2:W200,'1C'!$C$2:C200})), ROW(A7))),
MATCH(INDEX(UNIQUE(FLATTEN({'1C'!$W$2:W200,'1C'!$C$2:C"&amp;"200})), ROW(A7)), L$3:L200, 0)
),)"),"RNPP-311m (24V)")</f>
        <v>RNPP-311m (24V)</v>
      </c>
      <c r="B9" s="108">
        <f ca="1">IFERROR(
  VLOOKUP(A9, '1C'!C:E, 3, 0),)</f>
        <v>32</v>
      </c>
      <c r="C9" s="108">
        <f ca="1">IFERROR(
  VLOOKUP(A9, '1C'!C:Z, 24, 0),)</f>
        <v>32</v>
      </c>
      <c r="D9" s="80" t="str">
        <f ca="1">IFERROR(
  VLOOKUP(A9, '1C'!C:K, 9, 0),)</f>
        <v>Analog of RNPP-311, regulation of time of AR and its operation, on / off of protections, 24V DC</v>
      </c>
      <c r="E9" s="81" t="str">
        <f ca="1">IFERROR(
  VLOOKUP(A9, '1C'!C:Q, 15, 0),)</f>
        <v>DIN</v>
      </c>
      <c r="F9" s="82">
        <f ca="1">IFERROR(
  VLOOKUP(A9, '1C'!C:S, 17, 0),)</f>
        <v>2</v>
      </c>
      <c r="G9" s="83" t="str">
        <f ca="1">IFERROR(
  VLOOKUP(A9, '1C'!C:U, 19, 0),)</f>
        <v>Contactor</v>
      </c>
      <c r="H9" s="81" t="str">
        <f ca="1">IFERROR(
  VLOOKUP(A9, '1C'!C:G, 5, 0),)</f>
        <v>NTRNP311D</v>
      </c>
      <c r="I9" s="90">
        <f ca="1">IFERROR( VLOOKUP(A9, '1C'!C:I, 7, 0),)</f>
        <v>0</v>
      </c>
      <c r="J9" s="91" t="str">
        <f ca="1">IFERROR(
  VLOOKUP(A9, '1C'!C:H, 6, 0),)</f>
        <v>8536 49 00 90</v>
      </c>
      <c r="K9" s="86"/>
      <c r="L9" s="107" t="str">
        <f ca="1">IFERROR(__xludf.DUMMYFUNCTION("""COMPUTED_VALUE"""),"Current limiters")</f>
        <v>Current limiters</v>
      </c>
    </row>
    <row r="10" spans="1:12" ht="14.4">
      <c r="A10" s="88" t="str">
        <f ca="1">IFERROR(__xludf.DUMMYFUNCTION("iferror(IFERROR(
HYPERLINK(
  VLOOKUP(
    INDEX(UNIQUE(FLATTEN({'1C'!$W$2:W200,'1C'!$C$2:C200})), ROW(A8)), 
    '1C'!C:O, 12, 0),
  INDEX(UNIQUE(FLATTEN({'1C'!$W$2:W200,'1C'!$C$2:C200})), ROW(A8))),
MATCH(INDEX(UNIQUE(FLATTEN({'1C'!$W$2:W200,'1C'!$C$2:C"&amp;"200})), ROW(A8)), L$3:L200, 0)
),)"),"RNPP-312")</f>
        <v>RNPP-312</v>
      </c>
      <c r="B10" s="108">
        <f ca="1">IFERROR(
  VLOOKUP(A10, '1C'!C:E, 3, 0),)</f>
        <v>35</v>
      </c>
      <c r="C10" s="108">
        <f ca="1">IFERROR(
  VLOOKUP(A10, '1C'!C:Z, 24, 0),)</f>
        <v>35</v>
      </c>
      <c r="D10" s="80" t="str">
        <f ca="1">IFERROR(
  VLOOKUP(A10, '1C'!C:K, 9, 0),)</f>
        <v>Sequences, phase skew and break, single-module analogue of RNPP-311M</v>
      </c>
      <c r="E10" s="81" t="str">
        <f ca="1">IFERROR(
  VLOOKUP(A10, '1C'!C:Q, 15, 0),)</f>
        <v>DIN</v>
      </c>
      <c r="F10" s="82">
        <f ca="1">IFERROR(
  VLOOKUP(A10, '1C'!C:S, 17, 0),)</f>
        <v>1</v>
      </c>
      <c r="G10" s="83" t="str">
        <f ca="1">IFERROR(
  VLOOKUP(A10, '1C'!C:U, 19, 0),)</f>
        <v>Contactor</v>
      </c>
      <c r="H10" s="81" t="str">
        <f ca="1">IFERROR(
  VLOOKUP(A10, '1C'!C:G, 5, 0),)</f>
        <v>NTRNP3120</v>
      </c>
      <c r="I10" s="90">
        <f ca="1">IFERROR( VLOOKUP(A10, '1C'!C:I, 7, 0),)</f>
        <v>4820122950450</v>
      </c>
      <c r="J10" s="91" t="str">
        <f ca="1">IFERROR(
  VLOOKUP(A10, '1C'!C:H, 6, 0),)</f>
        <v>8536 49 00 90</v>
      </c>
      <c r="K10" s="86"/>
      <c r="L10" s="107" t="str">
        <f ca="1">IFERROR(__xludf.DUMMYFUNCTION("""COMPUTED_VALUE"""),"Temperature controllers")</f>
        <v>Temperature controllers</v>
      </c>
    </row>
    <row r="11" spans="1:12" ht="14.4">
      <c r="A11" s="93" t="str">
        <f ca="1">IFERROR(__xludf.DUMMYFUNCTION("iferror(IFERROR(
HYPERLINK(
  VLOOKUP(
    INDEX(UNIQUE(FLATTEN({'1C'!$W$2:W200,'1C'!$C$2:C200})), ROW(A9)), 
    '1C'!C:O, 12, 0),
  INDEX(UNIQUE(FLATTEN({'1C'!$W$2:W200,'1C'!$C$2:C200})), ROW(A9))),
MATCH(INDEX(UNIQUE(FLATTEN({'1C'!$W$2:W200,'1C'!$C$2:C"&amp;"200})), ROW(A9)), L$3:L200, 0)
),)"),"RNPP-313")</f>
        <v>RNPP-313</v>
      </c>
      <c r="B11" s="108">
        <f ca="1">IFERROR(
  VLOOKUP(A11, '1C'!C:E, 3, 0),)</f>
        <v>23</v>
      </c>
      <c r="C11" s="108">
        <f ca="1">IFERROR(
  VLOOKUP(A11, '1C'!C:Z, 24, 0),)</f>
        <v>23</v>
      </c>
      <c r="D11" s="80" t="str">
        <f ca="1">IFERROR(
  VLOOKUP(A11, '1C'!C:K, 9, 0),)</f>
        <v xml:space="preserve">Sequences, phase skew and break, single-module, one adjustment Toff, sewn settings </v>
      </c>
      <c r="E11" s="81" t="str">
        <f ca="1">IFERROR(
  VLOOKUP(A11, '1C'!C:Q, 15, 0),)</f>
        <v>DIN</v>
      </c>
      <c r="F11" s="82">
        <f ca="1">IFERROR(
  VLOOKUP(A11, '1C'!C:S, 17, 0),)</f>
        <v>1</v>
      </c>
      <c r="G11" s="83" t="str">
        <f ca="1">IFERROR(
  VLOOKUP(A11, '1C'!C:U, 19, 0),)</f>
        <v>Contactor</v>
      </c>
      <c r="H11" s="81" t="str">
        <f ca="1">IFERROR(
  VLOOKUP(A11, '1C'!C:G, 5, 0),)</f>
        <v>NTRNP3130</v>
      </c>
      <c r="I11" s="90">
        <f ca="1">IFERROR( VLOOKUP(A11, '1C'!C:I, 7, 0),)</f>
        <v>0</v>
      </c>
      <c r="J11" s="91" t="str">
        <f ca="1">IFERROR(
  VLOOKUP(A11, '1C'!C:H, 6, 0),)</f>
        <v>8536 49 00 90</v>
      </c>
      <c r="K11" s="86"/>
      <c r="L11" s="107" t="str">
        <f ca="1">IFERROR(__xludf.DUMMYFUNCTION("""COMPUTED_VALUE"""),"Pump station / pressure relay controllers")</f>
        <v>Pump station / pressure relay controllers</v>
      </c>
    </row>
    <row r="12" spans="1:12" ht="14.4">
      <c r="A12" s="93" t="str">
        <f ca="1">IFERROR(__xludf.DUMMYFUNCTION("iferror(IFERROR(
HYPERLINK(
  VLOOKUP(
    INDEX(UNIQUE(FLATTEN({'1C'!$W$2:W200,'1C'!$C$2:C200})), ROW(A10)), 
    '1C'!C:O, 12, 0),
  INDEX(UNIQUE(FLATTEN({'1C'!$W$2:W200,'1C'!$C$2:C200})), ROW(A10))),
MATCH(INDEX(UNIQUE(FLATTEN({'1C'!$W$2:W200,'1C'!$C$2"&amp;":C200})), ROW(A10)), L$3:L200, 0)
),)"),"RNPP-314")</f>
        <v>RNPP-314</v>
      </c>
      <c r="B12" s="108">
        <f ca="1">IFERROR(
  VLOOKUP(A12, '1C'!C:E, 3, 0),)</f>
        <v>52</v>
      </c>
      <c r="C12" s="108">
        <f ca="1">IFERROR(
  VLOOKUP(A12, '1C'!C:Z, 24, 0),)</f>
        <v>52</v>
      </c>
      <c r="D12" s="80" t="str">
        <f ca="1">IFERROR(
  VLOOKUP(A12, '1C'!C:K, 9, 0),)</f>
        <v>Sequence, skew and phase failure, built-in settings</v>
      </c>
      <c r="E12" s="81" t="str">
        <f ca="1">IFERROR(
  VLOOKUP(A12, '1C'!C:Q, 15, 0),)</f>
        <v>DIN</v>
      </c>
      <c r="F12" s="82">
        <f ca="1">IFERROR(
  VLOOKUP(A12, '1C'!C:S, 17, 0),)</f>
        <v>1</v>
      </c>
      <c r="G12" s="83" t="str">
        <f ca="1">IFERROR(
  VLOOKUP(A12, '1C'!C:U, 19, 0),)</f>
        <v>Contactor</v>
      </c>
      <c r="H12" s="81" t="str">
        <f ca="1">IFERROR(
  VLOOKUP(A12, '1C'!C:G, 5, 0),)</f>
        <v>NTRNP3140</v>
      </c>
      <c r="I12" s="90">
        <f ca="1">IFERROR( VLOOKUP(A12, '1C'!C:I, 7, 0),)</f>
        <v>0</v>
      </c>
      <c r="J12" s="91" t="str">
        <f ca="1">IFERROR(
  VLOOKUP(A12, '1C'!C:H, 6, 0),)</f>
        <v>8536 49 00 90</v>
      </c>
      <c r="K12" s="86"/>
      <c r="L12" s="107" t="str">
        <f ca="1">IFERROR(__xludf.DUMMYFUNCTION("""COMPUTED_VALUE"""),"Electrical parameters register")</f>
        <v>Electrical parameters register</v>
      </c>
    </row>
    <row r="13" spans="1:12" ht="14.4">
      <c r="A13" s="93" t="str">
        <f ca="1">IFERROR(__xludf.DUMMYFUNCTION("iferror(IFERROR(
HYPERLINK(
  VLOOKUP(
    INDEX(UNIQUE(FLATTEN({'1C'!$W$2:W200,'1C'!$C$2:C200})), ROW(A11)), 
    '1C'!C:O, 12, 0),
  INDEX(UNIQUE(FLATTEN({'1C'!$W$2:W200,'1C'!$C$2:C200})), ROW(A11))),
MATCH(INDEX(UNIQUE(FLATTEN({'1C'!$W$2:W200,'1C'!$C$2"&amp;":C200})), ROW(A11)), L$3:L200, 0)
),)"),"RNPP-316-500")</f>
        <v>RNPP-316-500</v>
      </c>
      <c r="B13" s="108">
        <f ca="1">IFERROR(
  VLOOKUP(A13, '1C'!C:E, 3, 0),)</f>
        <v>37</v>
      </c>
      <c r="C13" s="108">
        <f ca="1">IFERROR(
  VLOOKUP(A13, '1C'!C:Z, 24, 0),)</f>
        <v>41</v>
      </c>
      <c r="D13" s="80" t="str">
        <f ca="1">IFERROR(
  VLOOKUP(A13, '1C'!C:K, 9, 0),)</f>
        <v>Sequences, phase skew and break, separate regulation of Umin and Umax, analogue of RNPP-311M</v>
      </c>
      <c r="E13" s="81" t="str">
        <f ca="1">IFERROR(
  VLOOKUP(A13, '1C'!C:Q, 15, 0),)</f>
        <v>DIN</v>
      </c>
      <c r="F13" s="82">
        <f ca="1">IFERROR(
  VLOOKUP(A13, '1C'!C:S, 17, 0),)</f>
        <v>2</v>
      </c>
      <c r="G13" s="83" t="str">
        <f ca="1">IFERROR(
  VLOOKUP(A13, '1C'!C:U, 19, 0),)</f>
        <v>Contactor</v>
      </c>
      <c r="H13" s="81" t="str">
        <f ca="1">IFERROR(
  VLOOKUP(A13, '1C'!C:G, 5, 0),)</f>
        <v>NTRNP3160</v>
      </c>
      <c r="I13" s="90">
        <f ca="1">IFERROR( VLOOKUP(A13, '1C'!C:I, 7, 0),)</f>
        <v>0</v>
      </c>
      <c r="J13" s="91" t="str">
        <f ca="1">IFERROR(
  VLOOKUP(A13, '1C'!C:H, 6, 0),)</f>
        <v>8536 49 00 90</v>
      </c>
      <c r="K13" s="86"/>
      <c r="L13" s="107" t="str">
        <f ca="1">IFERROR(__xludf.DUMMYFUNCTION("""COMPUTED_VALUE"""),"Reactive power compensator")</f>
        <v>Reactive power compensator</v>
      </c>
    </row>
    <row r="14" spans="1:12" ht="14.4">
      <c r="A14" s="88" t="str">
        <f ca="1">IFERROR(__xludf.DUMMYFUNCTION("iferror(IFERROR(
HYPERLINK(
  VLOOKUP(
    INDEX(UNIQUE(FLATTEN({'1C'!$W$2:W200,'1C'!$C$2:C200})), ROW(A12)), 
    '1C'!C:O, 12, 0),
  INDEX(UNIQUE(FLATTEN({'1C'!$W$2:W200,'1C'!$C$2:C200})), ROW(A12))),
MATCH(INDEX(UNIQUE(FLATTEN({'1C'!$W$2:W200,'1C'!$C$2"&amp;":C200})), ROW(A12)), L$3:L200, 0)
),)"),"RN-12")</f>
        <v>RN-12</v>
      </c>
      <c r="B14" s="108">
        <f ca="1">IFERROR(
  VLOOKUP(A14, '1C'!C:E, 3, 0),)</f>
        <v>7</v>
      </c>
      <c r="C14" s="108">
        <f ca="1">IFERROR(
  VLOOKUP(A14, '1C'!C:Z, 24, 0),)</f>
        <v>7</v>
      </c>
      <c r="D14" s="80" t="str">
        <f ca="1">IFERROR(
  VLOOKUP(A14, '1C'!C:K, 9, 0),)</f>
        <v>Phase indicator</v>
      </c>
      <c r="E14" s="81" t="str">
        <f ca="1">IFERROR(
  VLOOKUP(A14, '1C'!C:Q, 15, 0),)</f>
        <v>DIN</v>
      </c>
      <c r="F14" s="82">
        <f ca="1">IFERROR(
  VLOOKUP(A14, '1C'!C:S, 17, 0),)</f>
        <v>1</v>
      </c>
      <c r="G14" s="83" t="str">
        <f ca="1">IFERROR(
  VLOOKUP(A14, '1C'!C:U, 19, 0),)</f>
        <v>-</v>
      </c>
      <c r="H14" s="81" t="str">
        <f ca="1">IFERROR(
  VLOOKUP(A14, '1C'!C:G, 5, 0),)</f>
        <v>NTRN12000</v>
      </c>
      <c r="I14" s="90">
        <f ca="1">IFERROR( VLOOKUP(A14, '1C'!C:I, 7, 0),)</f>
        <v>0</v>
      </c>
      <c r="J14" s="91" t="str">
        <f ca="1">IFERROR(
  VLOOKUP(A14, '1C'!C:H, 6, 0),)</f>
        <v>8536 49 00 90</v>
      </c>
      <c r="K14" s="86"/>
      <c r="L14" s="107" t="str">
        <f ca="1">IFERROR(__xludf.DUMMYFUNCTION("""COMPUTED_VALUE"""),"Preliminary control of insulation resistance")</f>
        <v>Preliminary control of insulation resistance</v>
      </c>
    </row>
    <row r="15" spans="1:12" ht="14.4">
      <c r="A15" s="93" t="str">
        <f ca="1">IFERROR(__xludf.DUMMYFUNCTION("iferror(IFERROR(
HYPERLINK(
  VLOOKUP(
    INDEX(UNIQUE(FLATTEN({'1C'!$W$2:W200,'1C'!$C$2:C200})), ROW(A13)), 
    '1C'!C:O, 12, 0),
  INDEX(UNIQUE(FLATTEN({'1C'!$W$2:W200,'1C'!$C$2:C200})), ROW(A13))),
MATCH(INDEX(UNIQUE(FLATTEN({'1C'!$W$2:W200,'1C'!$C$2"&amp;":C200})), ROW(A13)), L$3:L200, 0)
),)"),"RN-35")</f>
        <v>RN-35</v>
      </c>
      <c r="B15" s="108" t="str">
        <f ca="1">IFERROR(
  VLOOKUP(A15, '1C'!C:E, 3, 0),)</f>
        <v>-</v>
      </c>
      <c r="C15" s="108" t="str">
        <f ca="1">IFERROR(
  VLOOKUP(A15, '1C'!C:Z, 24, 0),)</f>
        <v>-</v>
      </c>
      <c r="D15" s="80" t="str">
        <f ca="1">IFERROR(
  VLOOKUP(A15, '1C'!C:K, 9, 0),)</f>
        <v>Phase indicator</v>
      </c>
      <c r="E15" s="81" t="str">
        <f ca="1">IFERROR(
  VLOOKUP(A15, '1C'!C:Q, 15, 0),)</f>
        <v>DIN</v>
      </c>
      <c r="F15" s="82">
        <f ca="1">IFERROR(
  VLOOKUP(A15, '1C'!C:S, 17, 0),)</f>
        <v>1</v>
      </c>
      <c r="G15" s="83" t="str">
        <f ca="1">IFERROR(
  VLOOKUP(A15, '1C'!C:U, 19, 0),)</f>
        <v>10А</v>
      </c>
      <c r="H15" s="81" t="str">
        <f ca="1">IFERROR(
  VLOOKUP(A15, '1C'!C:G, 5, 0),)</f>
        <v>-</v>
      </c>
      <c r="I15" s="90">
        <f ca="1">IFERROR( VLOOKUP(A15, '1C'!C:I, 7, 0),)</f>
        <v>0</v>
      </c>
      <c r="J15" s="91" t="str">
        <f ca="1">IFERROR(
  VLOOKUP(A15, '1C'!C:H, 6, 0),)</f>
        <v>-</v>
      </c>
      <c r="K15" s="86"/>
      <c r="L15" s="107" t="str">
        <f ca="1">IFERROR(__xludf.DUMMYFUNCTION("""COMPUTED_VALUE"""),"Temperature sensors")</f>
        <v>Temperature sensors</v>
      </c>
    </row>
    <row r="16" spans="1:12" ht="14.4">
      <c r="A16" s="93" t="str">
        <f ca="1">IFERROR(__xludf.DUMMYFUNCTION("iferror(IFERROR(
HYPERLINK(
  VLOOKUP(
    INDEX(UNIQUE(FLATTEN({'1C'!$W$2:W200,'1C'!$C$2:C200})), ROW(A14)), 
    '1C'!C:O, 12, 0),
  INDEX(UNIQUE(FLATTEN({'1C'!$W$2:W200,'1C'!$C$2:C200})), ROW(A14))),
MATCH(INDEX(UNIQUE(FLATTEN({'1C'!$W$2:W200,'1C'!$C$2"&amp;":C200})), ROW(A14)), L$3:L200, 0)
),)"),"Timers")</f>
        <v>Timers</v>
      </c>
      <c r="B16" s="108">
        <f ca="1">IFERROR(
  VLOOKUP(A16, '1C'!C:E, 3, 0),)</f>
        <v>0</v>
      </c>
      <c r="C16" s="108">
        <f ca="1">IFERROR(
  VLOOKUP(A16, '1C'!C:Z, 24, 0),)</f>
        <v>0</v>
      </c>
      <c r="D16" s="80">
        <f ca="1">IFERROR(
  VLOOKUP(A16, '1C'!C:K, 9, 0),)</f>
        <v>0</v>
      </c>
      <c r="E16" s="81">
        <f ca="1">IFERROR(
  VLOOKUP(A16, '1C'!C:Q, 15, 0),)</f>
        <v>0</v>
      </c>
      <c r="F16" s="82">
        <f ca="1">IFERROR(
  VLOOKUP(A16, '1C'!C:S, 17, 0),)</f>
        <v>0</v>
      </c>
      <c r="G16" s="83">
        <f ca="1">IFERROR(
  VLOOKUP(A16, '1C'!C:U, 19, 0),)</f>
        <v>0</v>
      </c>
      <c r="H16" s="81">
        <f ca="1">IFERROR(
  VLOOKUP(A16, '1C'!C:G, 5, 0),)</f>
        <v>0</v>
      </c>
      <c r="I16" s="90">
        <f ca="1">IFERROR( VLOOKUP(A16, '1C'!C:I, 7, 0),)</f>
        <v>0</v>
      </c>
      <c r="J16" s="91">
        <f ca="1">IFERROR(
  VLOOKUP(A16, '1C'!C:H, 6, 0),)</f>
        <v>0</v>
      </c>
      <c r="K16" s="86"/>
      <c r="L16" s="107" t="str">
        <f ca="1">IFERROR(__xludf.DUMMYFUNCTION("""COMPUTED_VALUE"""),"-")</f>
        <v>-</v>
      </c>
    </row>
    <row r="17" spans="1:12" ht="14.4">
      <c r="A17" s="88" t="str">
        <f ca="1">IFERROR(__xludf.DUMMYFUNCTION("iferror(IFERROR(
HYPERLINK(
  VLOOKUP(
    INDEX(UNIQUE(FLATTEN({'1C'!$W$2:W200,'1C'!$C$2:C200})), ROW(A15)), 
    '1C'!C:O, 12, 0),
  INDEX(UNIQUE(FLATTEN({'1C'!$W$2:W200,'1C'!$C$2:C200})), ROW(A15))),
MATCH(INDEX(UNIQUE(FLATTEN({'1C'!$W$2:W200,'1C'!$C$2"&amp;":C200})), ROW(A15)), L$3:L200, 0)
),)"),"REV-225")</f>
        <v>REV-225</v>
      </c>
      <c r="B17" s="108">
        <f ca="1">IFERROR(
  VLOOKUP(A17, '1C'!C:E, 3, 0),)</f>
        <v>46</v>
      </c>
      <c r="C17" s="108">
        <f ca="1">IFERROR(
  VLOOKUP(A17, '1C'!C:Z, 24, 0),)</f>
        <v>58</v>
      </c>
      <c r="D17" s="80" t="str">
        <f ca="1">IFERROR(
  VLOOKUP(A17, '1C'!C:K, 9, 0),)</f>
        <v xml:space="preserve">Single channel astronomical timer </v>
      </c>
      <c r="E17" s="81" t="str">
        <f ca="1">IFERROR(
  VLOOKUP(A17, '1C'!C:Q, 15, 0),)</f>
        <v>DIN</v>
      </c>
      <c r="F17" s="82">
        <f ca="1">IFERROR(
  VLOOKUP(A17, '1C'!C:S, 17, 0),)</f>
        <v>2</v>
      </c>
      <c r="G17" s="83" t="str">
        <f ca="1">IFERROR(
  VLOOKUP(A17, '1C'!C:U, 19, 0),)</f>
        <v>16А</v>
      </c>
      <c r="H17" s="81" t="str">
        <f ca="1">IFERROR(
  VLOOKUP(A17, '1C'!C:G, 5, 0),)</f>
        <v>NTRV22500</v>
      </c>
      <c r="I17" s="90">
        <f ca="1">IFERROR( VLOOKUP(A17, '1C'!C:I, 7, 0),)</f>
        <v>4820122950467</v>
      </c>
      <c r="J17" s="91" t="str">
        <f ca="1">IFERROR(
  VLOOKUP(A17, '1C'!C:H, 6, 0),)</f>
        <v>8536 49 00 90</v>
      </c>
      <c r="K17" s="86"/>
      <c r="L17" s="107" t="str">
        <f ca="1">IFERROR(__xludf.DUMMYFUNCTION("""COMPUTED_VALUE"""),"I/O modules")</f>
        <v>I/O modules</v>
      </c>
    </row>
    <row r="18" spans="1:12" ht="14.4">
      <c r="A18" s="88" t="str">
        <f ca="1">IFERROR(__xludf.DUMMYFUNCTION("iferror(IFERROR(
HYPERLINK(
  VLOOKUP(
    INDEX(UNIQUE(FLATTEN({'1C'!$W$2:W200,'1C'!$C$2:C200})), ROW(A16)), 
    '1C'!C:O, 12, 0),
  INDEX(UNIQUE(FLATTEN({'1C'!$W$2:W200,'1C'!$C$2:C200})), ROW(A16))),
MATCH(INDEX(UNIQUE(FLATTEN({'1C'!$W$2:W200,'1C'!$C$2"&amp;":C200})), ROW(A16)), L$3:L200, 0)
),)"),"RN-16tm")</f>
        <v>RN-16tm</v>
      </c>
      <c r="B18" s="108" t="str">
        <f ca="1">IFERROR(
  VLOOKUP(A18, '1C'!C:E, 3, 0),)</f>
        <v>out of production</v>
      </c>
      <c r="C18" s="108" t="str">
        <f ca="1">IFERROR(
  VLOOKUP(A18, '1C'!C:Z, 24, 0),)</f>
        <v>out of production</v>
      </c>
      <c r="D18" s="80" t="str">
        <f ca="1">IFERROR(
  VLOOKUP(A18, '1C'!C:K, 9, 0),)</f>
        <v>Daily/week timer + voltage relay + built-in photorelay</v>
      </c>
      <c r="E18" s="81" t="str">
        <f ca="1">IFERROR(
  VLOOKUP(A18, '1C'!C:Q, 15, 0),)</f>
        <v>DIN</v>
      </c>
      <c r="F18" s="82">
        <f ca="1">IFERROR(
  VLOOKUP(A18, '1C'!C:S, 17, 0),)</f>
        <v>3</v>
      </c>
      <c r="G18" s="83" t="str">
        <f ca="1">IFERROR(
  VLOOKUP(A18, '1C'!C:U, 19, 0),)</f>
        <v>16А</v>
      </c>
      <c r="H18" s="81" t="str">
        <f ca="1">IFERROR(
  VLOOKUP(A18, '1C'!C:G, 5, 0),)</f>
        <v>NTRV16TM0</v>
      </c>
      <c r="I18" s="90">
        <f ca="1">IFERROR( VLOOKUP(A18, '1C'!C:I, 7, 0),)</f>
        <v>0</v>
      </c>
      <c r="J18" s="91" t="str">
        <f ca="1">IFERROR(
  VLOOKUP(A18, '1C'!C:H, 6, 0),)</f>
        <v>8536 49 00 90</v>
      </c>
      <c r="K18" s="86"/>
      <c r="L18" s="107" t="str">
        <f ca="1">IFERROR(__xludf.DUMMYFUNCTION("""COMPUTED_VALUE"""),"ModBus WEB access controllers")</f>
        <v>ModBus WEB access controllers</v>
      </c>
    </row>
    <row r="19" spans="1:12" ht="26.4">
      <c r="A19" s="88" t="str">
        <f ca="1">IFERROR(__xludf.DUMMYFUNCTION("iferror(IFERROR(
HYPERLINK(
  VLOOKUP(
    INDEX(UNIQUE(FLATTEN({'1C'!$W$2:W200,'1C'!$C$2:C200})), ROW(A17)), 
    '1C'!C:O, 12, 0),
  INDEX(UNIQUE(FLATTEN({'1C'!$W$2:W200,'1C'!$C$2:C200})), ROW(A17))),
MATCH(INDEX(UNIQUE(FLATTEN({'1C'!$W$2:W200,'1C'!$C$2"&amp;":C200})), ROW(A17)), L$3:L200, 0)
),)"),"REV-302")</f>
        <v>REV-302</v>
      </c>
      <c r="B19" s="108">
        <f ca="1">IFERROR(
  VLOOKUP(A19, '1C'!C:E, 3, 0),)</f>
        <v>74</v>
      </c>
      <c r="C19" s="108">
        <f ca="1">IFERROR(
  VLOOKUP(A19, '1C'!C:Z, 24, 0),)</f>
        <v>93</v>
      </c>
      <c r="D19" s="80" t="str">
        <f ca="1">IFERROR(
  VLOOKUP(A19, '1C'!C:K, 9, 0),)</f>
        <v>Annual, monthly, weekly, daily timer + voltage relay, remote photorelay, 2 channels, PC and Android settings</v>
      </c>
      <c r="E19" s="81" t="str">
        <f ca="1">IFERROR(
  VLOOKUP(A19, '1C'!C:Q, 15, 0),)</f>
        <v>DIN</v>
      </c>
      <c r="F19" s="82">
        <f ca="1">IFERROR(
  VLOOKUP(A19, '1C'!C:S, 17, 0),)</f>
        <v>3</v>
      </c>
      <c r="G19" s="83" t="str">
        <f ca="1">IFERROR(
  VLOOKUP(A19, '1C'!C:U, 19, 0),)</f>
        <v>16А</v>
      </c>
      <c r="H19" s="81" t="str">
        <f ca="1">IFERROR(
  VLOOKUP(A19, '1C'!C:G, 5, 0),)</f>
        <v>NTRV30200</v>
      </c>
      <c r="I19" s="90">
        <f ca="1">IFERROR( VLOOKUP(A19, '1C'!C:I, 7, 0),)</f>
        <v>4820122950474</v>
      </c>
      <c r="J19" s="91" t="str">
        <f ca="1">IFERROR(
  VLOOKUP(A19, '1C'!C:H, 6, 0),)</f>
        <v>8536 49 00 90</v>
      </c>
      <c r="K19" s="86"/>
      <c r="L19" s="107"/>
    </row>
    <row r="20" spans="1:12" ht="14.4">
      <c r="A20" s="88" t="str">
        <f ca="1">IFERROR(__xludf.DUMMYFUNCTION("iferror(IFERROR(
HYPERLINK(
  VLOOKUP(
    INDEX(UNIQUE(FLATTEN({'1C'!$W$2:W200,'1C'!$C$2:C200})), ROW(A18)), 
    '1C'!C:O, 12, 0),
  INDEX(UNIQUE(FLATTEN({'1C'!$W$2:W200,'1C'!$C$2:C200})), ROW(A18))),
MATCH(INDEX(UNIQUE(FLATTEN({'1C'!$W$2:W200,'1C'!$C$2"&amp;":C200})), ROW(A18)), L$3:L200, 0)
),)"),"REV-303")</f>
        <v>REV-303</v>
      </c>
      <c r="B20" s="108">
        <f ca="1">IFERROR(
  VLOOKUP(A20, '1C'!C:E, 3, 0),)</f>
        <v>49</v>
      </c>
      <c r="C20" s="108">
        <f ca="1">IFERROR(
  VLOOKUP(A20, '1C'!C:Z, 24, 0),)</f>
        <v>62</v>
      </c>
      <c r="D20" s="80" t="str">
        <f ca="1">IFERROR(
  VLOOKUP(A20, '1C'!C:K, 9, 0),)</f>
        <v>Daily/weekly, astronomical single-channel timer</v>
      </c>
      <c r="E20" s="81" t="str">
        <f ca="1">IFERROR(
  VLOOKUP(A20, '1C'!C:Q, 15, 0),)</f>
        <v>DIN</v>
      </c>
      <c r="F20" s="82">
        <f ca="1">IFERROR(
  VLOOKUP(A20, '1C'!C:S, 17, 0),)</f>
        <v>2</v>
      </c>
      <c r="G20" s="83" t="str">
        <f ca="1">IFERROR(
  VLOOKUP(A20, '1C'!C:U, 19, 0),)</f>
        <v>16А</v>
      </c>
      <c r="H20" s="81" t="str">
        <f ca="1">IFERROR(
  VLOOKUP(A20, '1C'!C:G, 5, 0),)</f>
        <v>NTRV30300</v>
      </c>
      <c r="I20" s="90">
        <f ca="1">IFERROR( VLOOKUP(A20, '1C'!C:I, 7, 0),)</f>
        <v>4820122950542</v>
      </c>
      <c r="J20" s="91" t="str">
        <f ca="1">IFERROR(
  VLOOKUP(A20, '1C'!C:H, 6, 0),)</f>
        <v>8536 49 00 90</v>
      </c>
      <c r="K20" s="86"/>
      <c r="L20" s="107" t="str">
        <f ca="1">IFERROR(__xludf.DUMMYFUNCTION("""COMPUTED_VALUE"""),"Automatic transfer switch unit")</f>
        <v>Automatic transfer switch unit</v>
      </c>
    </row>
    <row r="21" spans="1:12" ht="14.4">
      <c r="A21" s="88" t="str">
        <f ca="1">IFERROR(__xludf.DUMMYFUNCTION("iferror(IFERROR(
HYPERLINK(
  VLOOKUP(
    INDEX(UNIQUE(FLATTEN({'1C'!$W$2:W200,'1C'!$C$2:C200})), ROW(A19)), 
    '1C'!C:O, 12, 0),
  INDEX(UNIQUE(FLATTEN({'1C'!$W$2:W200,'1C'!$C$2:C200})), ROW(A19))),
MATCH(INDEX(UNIQUE(FLATTEN({'1C'!$W$2:W200,'1C'!$C$2"&amp;":C200})), ROW(A19)), L$3:L200, 0)
),)"),"EM-130")</f>
        <v>EM-130</v>
      </c>
      <c r="B21" s="108">
        <f ca="1">IFERROR(
  VLOOKUP(A21, '1C'!C:E, 3, 0),)</f>
        <v>48</v>
      </c>
      <c r="C21" s="108">
        <f ca="1">IFERROR(
  VLOOKUP(A21, '1C'!C:Z, 24, 0),)</f>
        <v>60</v>
      </c>
      <c r="D21" s="80" t="str">
        <f ca="1">IFERROR(
  VLOOKUP(A21, '1C'!C:K, 9, 0),)</f>
        <v>Wi-Fi daily/weekly and astronomical timer, remote control + ModBus</v>
      </c>
      <c r="E21" s="81" t="str">
        <f ca="1">IFERROR(
  VLOOKUP(A21, '1C'!C:Q, 15, 0),)</f>
        <v>DIN</v>
      </c>
      <c r="F21" s="82">
        <f ca="1">IFERROR(
  VLOOKUP(A21, '1C'!C:S, 17, 0),)</f>
        <v>1</v>
      </c>
      <c r="G21" s="83" t="str">
        <f ca="1">IFERROR(
  VLOOKUP(A21, '1C'!C:U, 19, 0),)</f>
        <v>7А</v>
      </c>
      <c r="H21" s="81" t="str">
        <f ca="1">IFERROR(
  VLOOKUP(A21, '1C'!C:G, 5, 0),)</f>
        <v>NTRV13000</v>
      </c>
      <c r="I21" s="90">
        <f ca="1">IFERROR( VLOOKUP(A21, '1C'!C:I, 7, 0),)</f>
        <v>4820122950535</v>
      </c>
      <c r="J21" s="91" t="str">
        <f ca="1">IFERROR(
  VLOOKUP(A21, '1C'!C:H, 6, 0),)</f>
        <v>8517 62 00 00</v>
      </c>
      <c r="K21" s="86"/>
      <c r="L21" s="107" t="str">
        <f ca="1">IFERROR(__xludf.DUMMYFUNCTION("""COMPUTED_VALUE"""),"Detachable current transformers")</f>
        <v>Detachable current transformers</v>
      </c>
    </row>
    <row r="22" spans="1:12" ht="14.4">
      <c r="A22" s="93" t="str">
        <f ca="1">IFERROR(__xludf.DUMMYFUNCTION("iferror(IFERROR(
HYPERLINK(
  VLOOKUP(
    INDEX(UNIQUE(FLATTEN({'1C'!$W$2:W200,'1C'!$C$2:C200})), ROW(A20)), 
    '1C'!C:O, 12, 0),
  INDEX(UNIQUE(FLATTEN({'1C'!$W$2:W200,'1C'!$C$2:C200})), ROW(A20))),
MATCH(INDEX(UNIQUE(FLATTEN({'1C'!$W$2:W200,'1C'!$C$2"&amp;":C200})), ROW(A20)), L$3:L200, 0)
),)"),"Time relay")</f>
        <v>Time relay</v>
      </c>
      <c r="B22" s="108">
        <f ca="1">IFERROR(
  VLOOKUP(A22, '1C'!C:E, 3, 0),)</f>
        <v>0</v>
      </c>
      <c r="C22" s="108">
        <f ca="1">IFERROR(
  VLOOKUP(A22, '1C'!C:Z, 24, 0),)</f>
        <v>0</v>
      </c>
      <c r="D22" s="80">
        <f ca="1">IFERROR(
  VLOOKUP(A22, '1C'!C:K, 9, 0),)</f>
        <v>0</v>
      </c>
      <c r="E22" s="81">
        <f ca="1">IFERROR(
  VLOOKUP(A22, '1C'!C:Q, 15, 0),)</f>
        <v>0</v>
      </c>
      <c r="F22" s="82">
        <f ca="1">IFERROR(
  VLOOKUP(A22, '1C'!C:S, 17, 0),)</f>
        <v>0</v>
      </c>
      <c r="G22" s="83">
        <f ca="1">IFERROR(
  VLOOKUP(A22, '1C'!C:U, 19, 0),)</f>
        <v>0</v>
      </c>
      <c r="H22" s="81">
        <f ca="1">IFERROR(
  VLOOKUP(A22, '1C'!C:G, 5, 0),)</f>
        <v>0</v>
      </c>
      <c r="I22" s="90">
        <f ca="1">IFERROR( VLOOKUP(A22, '1C'!C:I, 7, 0),)</f>
        <v>0</v>
      </c>
      <c r="J22" s="91">
        <f ca="1">IFERROR(
  VLOOKUP(A22, '1C'!C:H, 6, 0),)</f>
        <v>0</v>
      </c>
      <c r="K22" s="86"/>
      <c r="L22" s="107" t="str">
        <f ca="1">IFERROR(__xludf.DUMMYFUNCTION("""COMPUTED_VALUE"""),"Overvoltage limiters (OPN)")</f>
        <v>Overvoltage limiters (OPN)</v>
      </c>
    </row>
    <row r="23" spans="1:12" ht="14.4">
      <c r="A23" s="93" t="str">
        <f ca="1">IFERROR(__xludf.DUMMYFUNCTION("iferror(IFERROR(
HYPERLINK(
  VLOOKUP(
    INDEX(UNIQUE(FLATTEN({'1C'!$W$2:W200,'1C'!$C$2:C200})), ROW(A21)), 
    '1C'!C:O, 12, 0),
  INDEX(UNIQUE(FLATTEN({'1C'!$W$2:W200,'1C'!$C$2:C200})), ROW(A21))),
MATCH(INDEX(UNIQUE(FLATTEN({'1C'!$W$2:W200,'1C'!$C$2"&amp;":C200})), ROW(A21)), L$3:L200, 0)
),)"),"REV-201")</f>
        <v>REV-201</v>
      </c>
      <c r="B23" s="108" t="str">
        <f ca="1">IFERROR(
  VLOOKUP(A23, '1C'!C:E, 3, 0),)</f>
        <v>out of production</v>
      </c>
      <c r="C23" s="108" t="str">
        <f ca="1">IFERROR(
  VLOOKUP(A23, '1C'!C:Z, 24, 0),)</f>
        <v>out of production</v>
      </c>
      <c r="D23" s="80" t="str">
        <f ca="1">IFERROR(
  VLOOKUP(A23, '1C'!C:K, 9, 0),)</f>
        <v>Two-channel delay relay</v>
      </c>
      <c r="E23" s="81" t="str">
        <f ca="1">IFERROR(
  VLOOKUP(A23, '1C'!C:Q, 15, 0),)</f>
        <v>DIN</v>
      </c>
      <c r="F23" s="82">
        <f ca="1">IFERROR(
  VLOOKUP(A23, '1C'!C:S, 17, 0),)</f>
        <v>3</v>
      </c>
      <c r="G23" s="83" t="str">
        <f ca="1">IFERROR(
  VLOOKUP(A23, '1C'!C:U, 19, 0),)</f>
        <v>16А</v>
      </c>
      <c r="H23" s="81" t="str">
        <f ca="1">IFERROR(
  VLOOKUP(A23, '1C'!C:G, 5, 0),)</f>
        <v>NTREV2010</v>
      </c>
      <c r="I23" s="90">
        <f ca="1">IFERROR( VLOOKUP(A23, '1C'!C:I, 7, 0),)</f>
        <v>0</v>
      </c>
      <c r="J23" s="91" t="str">
        <f ca="1">IFERROR(
  VLOOKUP(A23, '1C'!C:H, 6, 0),)</f>
        <v>8536 49 00 90</v>
      </c>
      <c r="K23" s="86"/>
      <c r="L23" s="107" t="str">
        <f ca="1">IFERROR(__xludf.DUMMYFUNCTION("""COMPUTED_VALUE"""),"Single-phase voltage relay (plug-socket)")</f>
        <v>Single-phase voltage relay (plug-socket)</v>
      </c>
    </row>
    <row r="24" spans="1:12" ht="14.4">
      <c r="A24" s="88" t="str">
        <f ca="1">IFERROR(__xludf.DUMMYFUNCTION("iferror(IFERROR(
HYPERLINK(
  VLOOKUP(
    INDEX(UNIQUE(FLATTEN({'1C'!$W$2:W200,'1C'!$C$2:C200})), ROW(A22)), 
    '1C'!C:O, 12, 0),
  INDEX(UNIQUE(FLATTEN({'1C'!$W$2:W200,'1C'!$C$2:C200})), ROW(A22))),
MATCH(INDEX(UNIQUE(FLATTEN({'1C'!$W$2:W200,'1C'!$C$2"&amp;":C200})), ROW(A22)), L$3:L200, 0)
),)"),"REV-201m")</f>
        <v>REV-201m</v>
      </c>
      <c r="B24" s="108">
        <f ca="1">IFERROR(
  VLOOKUP(A24, '1C'!C:E, 3, 0),)</f>
        <v>35</v>
      </c>
      <c r="C24" s="108">
        <f ca="1">IFERROR(
  VLOOKUP(A24, '1C'!C:Z, 24, 0),)</f>
        <v>35</v>
      </c>
      <c r="D24" s="80" t="str">
        <f ca="1">IFERROR(
  VLOOKUP(A24, '1C'!C:K, 9, 0),)</f>
        <v>Two-channel modernized delay relay, 7 programs</v>
      </c>
      <c r="E24" s="81" t="str">
        <f ca="1">IFERROR(
  VLOOKUP(A24, '1C'!C:Q, 15, 0),)</f>
        <v>DIN</v>
      </c>
      <c r="F24" s="82">
        <f ca="1">IFERROR(
  VLOOKUP(A24, '1C'!C:S, 17, 0),)</f>
        <v>2</v>
      </c>
      <c r="G24" s="83" t="str">
        <f ca="1">IFERROR(
  VLOOKUP(A24, '1C'!C:U, 19, 0),)</f>
        <v>16А</v>
      </c>
      <c r="H24" s="81" t="str">
        <f ca="1">IFERROR(
  VLOOKUP(A24, '1C'!C:G, 5, 0),)</f>
        <v>NTREV201M</v>
      </c>
      <c r="I24" s="90">
        <f ca="1">IFERROR( VLOOKUP(A24, '1C'!C:I, 7, 0),)</f>
        <v>4820122950481</v>
      </c>
      <c r="J24" s="91" t="str">
        <f ca="1">IFERROR(
  VLOOKUP(A24, '1C'!C:H, 6, 0),)</f>
        <v>8536 49 00 90</v>
      </c>
      <c r="K24" s="86"/>
      <c r="L24" s="107" t="str">
        <f ca="1">IFERROR(__xludf.DUMMYFUNCTION("""COMPUTED_VALUE"""),"Single-phase voltage relays (DIN rail)")</f>
        <v>Single-phase voltage relays (DIN rail)</v>
      </c>
    </row>
    <row r="25" spans="1:12" ht="14.4">
      <c r="A25" s="93" t="str">
        <f ca="1">IFERROR(__xludf.DUMMYFUNCTION("iferror(IFERROR(
HYPERLINK(
  VLOOKUP(
    INDEX(UNIQUE(FLATTEN({'1C'!$W$2:W200,'1C'!$C$2:C200})), ROW(A23)), 
    '1C'!C:O, 12, 0),
  INDEX(UNIQUE(FLATTEN({'1C'!$W$2:W200,'1C'!$C$2:C200})), ROW(A23))),
MATCH(INDEX(UNIQUE(FLATTEN({'1C'!$W$2:W200,'1C'!$C$2"&amp;":C200})), ROW(A23)), L$3:L200, 0)
),)"),"REV-123")</f>
        <v>REV-123</v>
      </c>
      <c r="B25" s="108">
        <f ca="1">IFERROR(
  VLOOKUP(A25, '1C'!C:E, 3, 0),)</f>
        <v>22</v>
      </c>
      <c r="C25" s="108">
        <f ca="1">IFERROR(
  VLOOKUP(A25, '1C'!C:Z, 24, 0),)</f>
        <v>24</v>
      </c>
      <c r="D25" s="80" t="str">
        <f ca="1">IFERROR(
  VLOOKUP(A25, '1C'!C:K, 9, 0),)</f>
        <v>Simple timer, 1 adjustment, for ventilation</v>
      </c>
      <c r="E25" s="81" t="str">
        <f ca="1">IFERROR(
  VLOOKUP(A25, '1C'!C:Q, 15, 0),)</f>
        <v>DIN</v>
      </c>
      <c r="F25" s="82">
        <f ca="1">IFERROR(
  VLOOKUP(A25, '1C'!C:S, 17, 0),)</f>
        <v>1</v>
      </c>
      <c r="G25" s="83">
        <f ca="1">IFERROR(
  VLOOKUP(A25, '1C'!C:U, 19, 0),)</f>
        <v>0</v>
      </c>
      <c r="H25" s="81" t="str">
        <f ca="1">IFERROR(
  VLOOKUP(A25, '1C'!C:G, 5, 0),)</f>
        <v>NTRV12300</v>
      </c>
      <c r="I25" s="90">
        <f ca="1">IFERROR( VLOOKUP(A25, '1C'!C:I, 7, 0),)</f>
        <v>0</v>
      </c>
      <c r="J25" s="91" t="str">
        <f ca="1">IFERROR(
  VLOOKUP(A25, '1C'!C:H, 6, 0),)</f>
        <v>8536 49 00 90</v>
      </c>
      <c r="K25" s="86"/>
      <c r="L25" s="107" t="str">
        <f ca="1">IFERROR(__xludf.DUMMYFUNCTION("""COMPUTED_VALUE"""),"Overflow relay")</f>
        <v>Overflow relay</v>
      </c>
    </row>
    <row r="26" spans="1:12" ht="14.4">
      <c r="A26" s="88" t="str">
        <f ca="1">IFERROR(__xludf.DUMMYFUNCTION("iferror(IFERROR(
HYPERLINK(
  VLOOKUP(
    INDEX(UNIQUE(FLATTEN({'1C'!$W$2:W200,'1C'!$C$2:C200})), ROW(A24)), 
    '1C'!C:O, 12, 0),
  INDEX(UNIQUE(FLATTEN({'1C'!$W$2:W200,'1C'!$C$2:C200})), ROW(A24))),
MATCH(INDEX(UNIQUE(FLATTEN({'1C'!$W$2:W200,'1C'!$C$2"&amp;":C200})), ROW(A24)), L$3:L200, 0)
),)"),"REV-114")</f>
        <v>REV-114</v>
      </c>
      <c r="B26" s="108">
        <f ca="1">IFERROR(
  VLOOKUP(A26, '1C'!C:E, 3, 0),)</f>
        <v>27</v>
      </c>
      <c r="C26" s="108">
        <f ca="1">IFERROR(
  VLOOKUP(A26, '1C'!C:Z, 24, 0),)</f>
        <v>27</v>
      </c>
      <c r="D26" s="80" t="str">
        <f ca="1">IFERROR(
  VLOOKUP(A26, '1C'!C:K, 9, 0),)</f>
        <v>Time relay, 17 programs, display + keys, 220V AC</v>
      </c>
      <c r="E26" s="81" t="str">
        <f ca="1">IFERROR(
  VLOOKUP(A26, '1C'!C:Q, 15, 0),)</f>
        <v>DIN</v>
      </c>
      <c r="F26" s="82">
        <f ca="1">IFERROR(
  VLOOKUP(A26, '1C'!C:S, 17, 0),)</f>
        <v>1</v>
      </c>
      <c r="G26" s="83" t="str">
        <f ca="1">IFERROR(
  VLOOKUP(A26, '1C'!C:U, 19, 0),)</f>
        <v>6А</v>
      </c>
      <c r="H26" s="81" t="str">
        <f ca="1">IFERROR(
  VLOOKUP(A26, '1C'!C:G, 5, 0),)</f>
        <v>NTREV114A</v>
      </c>
      <c r="I26" s="90">
        <f ca="1">IFERROR( VLOOKUP(A26, '1C'!C:I, 7, 0),)</f>
        <v>4820122950504</v>
      </c>
      <c r="J26" s="91" t="str">
        <f ca="1">IFERROR(
  VLOOKUP(A26, '1C'!C:H, 6, 0),)</f>
        <v>8536 49 00 90</v>
      </c>
      <c r="K26" s="86"/>
      <c r="L26" s="107" t="str">
        <f ca="1">IFERROR(__xludf.DUMMYFUNCTION("""COMPUTED_VALUE"""),"VOLTAGE STABILIZERS")</f>
        <v>VOLTAGE STABILIZERS</v>
      </c>
    </row>
    <row r="27" spans="1:12" ht="14.4">
      <c r="A27" s="93" t="str">
        <f ca="1">IFERROR(__xludf.DUMMYFUNCTION("iferror(IFERROR(
HYPERLINK(
  VLOOKUP(
    INDEX(UNIQUE(FLATTEN({'1C'!$W$2:W200,'1C'!$C$2:C200})), ROW(A25)), 
    '1C'!C:O, 12, 0),
  INDEX(UNIQUE(FLATTEN({'1C'!$W$2:W200,'1C'!$C$2:C200})), ROW(A25))),
MATCH(INDEX(UNIQUE(FLATTEN({'1C'!$W$2:W200,'1C'!$C$2"&amp;":C200})), ROW(A25)), L$3:L200, 0)
),)"),"REV-114 24V")</f>
        <v>REV-114 24V</v>
      </c>
      <c r="B27" s="108">
        <f ca="1">IFERROR(
  VLOOKUP(A27, '1C'!C:E, 3, 0),)</f>
        <v>23</v>
      </c>
      <c r="C27" s="108">
        <f ca="1">IFERROR(
  VLOOKUP(A27, '1C'!C:Z, 24, 0),)</f>
        <v>23</v>
      </c>
      <c r="D27" s="80" t="str">
        <f ca="1">IFERROR(
  VLOOKUP(A27, '1C'!C:K, 9, 0),)</f>
        <v>Time relay, 17 programs, display + keys, 24V DC</v>
      </c>
      <c r="E27" s="81" t="str">
        <f ca="1">IFERROR(
  VLOOKUP(A27, '1C'!C:Q, 15, 0),)</f>
        <v>DIN</v>
      </c>
      <c r="F27" s="82">
        <f ca="1">IFERROR(
  VLOOKUP(A27, '1C'!C:S, 17, 0),)</f>
        <v>1</v>
      </c>
      <c r="G27" s="83" t="str">
        <f ca="1">IFERROR(
  VLOOKUP(A27, '1C'!C:U, 19, 0),)</f>
        <v>6А</v>
      </c>
      <c r="H27" s="81" t="str">
        <f ca="1">IFERROR(
  VLOOKUP(A27, '1C'!C:G, 5, 0),)</f>
        <v>NTREV114D</v>
      </c>
      <c r="I27" s="90">
        <f ca="1">IFERROR( VLOOKUP(A27, '1C'!C:I, 7, 0),)</f>
        <v>0</v>
      </c>
      <c r="J27" s="91" t="str">
        <f ca="1">IFERROR(
  VLOOKUP(A27, '1C'!C:H, 6, 0),)</f>
        <v>8536 49 00 90</v>
      </c>
      <c r="K27" s="86"/>
      <c r="L27" s="107" t="str">
        <f ca="1">IFERROR(__xludf.DUMMYFUNCTION("""COMPUTED_VALUE"""),"Control panels")</f>
        <v>Control panels</v>
      </c>
    </row>
    <row r="28" spans="1:12" ht="14.4">
      <c r="A28" s="93" t="str">
        <f ca="1">IFERROR(__xludf.DUMMYFUNCTION("iferror(IFERROR(
HYPERLINK(
  VLOOKUP(
    INDEX(UNIQUE(FLATTEN({'1C'!$W$2:W200,'1C'!$C$2:C200})), ROW(A26)), 
    '1C'!C:O, 12, 0),
  INDEX(UNIQUE(FLATTEN({'1C'!$W$2:W200,'1C'!$C$2:C200})), ROW(A26))),
MATCH(INDEX(UNIQUE(FLATTEN({'1C'!$W$2:W200,'1C'!$C$2"&amp;":C200})), ROW(A26)), L$3:L200, 0)
),)"),"REV-114n")</f>
        <v>REV-114n</v>
      </c>
      <c r="B28" s="108">
        <f ca="1">IFERROR(
  VLOOKUP(A28, '1C'!C:E, 3, 0),)</f>
        <v>27</v>
      </c>
      <c r="C28" s="108">
        <f ca="1">IFERROR(
  VLOOKUP(A28, '1C'!C:Z, 24, 0),)</f>
        <v>27</v>
      </c>
      <c r="D28" s="80" t="str">
        <f ca="1">IFERROR(
  VLOOKUP(A28, '1C'!C:K, 9, 0),)</f>
        <v>Time relay, 17 programs, display + keys, universal power supply 24V DC and 220V AC</v>
      </c>
      <c r="E28" s="81" t="str">
        <f ca="1">IFERROR(
  VLOOKUP(A28, '1C'!C:Q, 15, 0),)</f>
        <v>DIN</v>
      </c>
      <c r="F28" s="82">
        <f ca="1">IFERROR(
  VLOOKUP(A28, '1C'!C:S, 17, 0),)</f>
        <v>1</v>
      </c>
      <c r="G28" s="83" t="str">
        <f ca="1">IFERROR(
  VLOOKUP(A28, '1C'!C:U, 19, 0),)</f>
        <v>6А</v>
      </c>
      <c r="H28" s="81" t="str">
        <f ca="1">IFERROR(
  VLOOKUP(A28, '1C'!C:G, 5, 0),)</f>
        <v>NTREV114N</v>
      </c>
      <c r="I28" s="90">
        <f ca="1">IFERROR( VLOOKUP(A28, '1C'!C:I, 7, 0),)</f>
        <v>4820122950559</v>
      </c>
      <c r="J28" s="91" t="str">
        <f ca="1">IFERROR(
  VLOOKUP(A28, '1C'!C:H, 6, 0),)</f>
        <v>8536 49 00 90</v>
      </c>
      <c r="K28" s="86"/>
      <c r="L28" s="92"/>
    </row>
    <row r="29" spans="1:12" ht="14.4">
      <c r="A29" s="88" t="str">
        <f ca="1">IFERROR(__xludf.DUMMYFUNCTION("iferror(IFERROR(
HYPERLINK(
  VLOOKUP(
    INDEX(UNIQUE(FLATTEN({'1C'!$W$2:W200,'1C'!$C$2:C200})), ROW(A27)), 
    '1C'!C:O, 12, 0),
  INDEX(UNIQUE(FLATTEN({'1C'!$W$2:W200,'1C'!$C$2:C200})), ROW(A27))),
MATCH(INDEX(UNIQUE(FLATTEN({'1C'!$W$2:W200,'1C'!$C$2"&amp;":C200})), ROW(A27)), L$3:L200, 0)
),)"),"REV-120")</f>
        <v>REV-120</v>
      </c>
      <c r="B29" s="108">
        <f ca="1">IFERROR(
  VLOOKUP(A29, '1C'!C:E, 3, 0),)</f>
        <v>25</v>
      </c>
      <c r="C29" s="108">
        <f ca="1">IFERROR(
  VLOOKUP(A29, '1C'!C:Z, 24, 0),)</f>
        <v>25</v>
      </c>
      <c r="D29" s="80" t="str">
        <f ca="1">IFERROR(
  VLOOKUP(A29, '1C'!C:K, 9, 0),)</f>
        <v>Time relay, 10 programs, potentiometers, 220V AC</v>
      </c>
      <c r="E29" s="81" t="str">
        <f ca="1">IFERROR(
  VLOOKUP(A29, '1C'!C:Q, 15, 0),)</f>
        <v>DIN</v>
      </c>
      <c r="F29" s="82">
        <f ca="1">IFERROR(
  VLOOKUP(A29, '1C'!C:S, 17, 0),)</f>
        <v>1</v>
      </c>
      <c r="G29" s="83" t="str">
        <f ca="1">IFERROR(
  VLOOKUP(A29, '1C'!C:U, 19, 0),)</f>
        <v>6А</v>
      </c>
      <c r="H29" s="81" t="str">
        <f ca="1">IFERROR(
  VLOOKUP(A29, '1C'!C:G, 5, 0),)</f>
        <v>NTREV120A</v>
      </c>
      <c r="I29" s="90">
        <f ca="1">IFERROR( VLOOKUP(A29, '1C'!C:I, 7, 0),)</f>
        <v>4820122950498</v>
      </c>
      <c r="J29" s="91" t="str">
        <f ca="1">IFERROR(
  VLOOKUP(A29, '1C'!C:H, 6, 0),)</f>
        <v>8536 49 00 90</v>
      </c>
      <c r="K29" s="86"/>
      <c r="L29" s="92"/>
    </row>
    <row r="30" spans="1:12" ht="14.4">
      <c r="A30" s="93" t="str">
        <f ca="1">IFERROR(__xludf.DUMMYFUNCTION("iferror(IFERROR(
HYPERLINK(
  VLOOKUP(
    INDEX(UNIQUE(FLATTEN({'1C'!$W$2:W200,'1C'!$C$2:C200})), ROW(A28)), 
    '1C'!C:O, 12, 0),
  INDEX(UNIQUE(FLATTEN({'1C'!$W$2:W200,'1C'!$C$2:C200})), ROW(A28))),
MATCH(INDEX(UNIQUE(FLATTEN({'1C'!$W$2:W200,'1C'!$C$2"&amp;":C200})), ROW(A28)), L$3:L200, 0)
),)"),"REV-120 24V")</f>
        <v>REV-120 24V</v>
      </c>
      <c r="B30" s="108">
        <f ca="1">IFERROR(
  VLOOKUP(A30, '1C'!C:E, 3, 0),)</f>
        <v>21</v>
      </c>
      <c r="C30" s="108">
        <f ca="1">IFERROR(
  VLOOKUP(A30, '1C'!C:Z, 24, 0),)</f>
        <v>21</v>
      </c>
      <c r="D30" s="80" t="str">
        <f ca="1">IFERROR(
  VLOOKUP(A30, '1C'!C:K, 9, 0),)</f>
        <v>Time relay, 10 programs, potentiometers, 24V DC</v>
      </c>
      <c r="E30" s="81" t="str">
        <f ca="1">IFERROR(
  VLOOKUP(A30, '1C'!C:Q, 15, 0),)</f>
        <v>DIN</v>
      </c>
      <c r="F30" s="82">
        <f ca="1">IFERROR(
  VLOOKUP(A30, '1C'!C:S, 17, 0),)</f>
        <v>1</v>
      </c>
      <c r="G30" s="83" t="str">
        <f ca="1">IFERROR(
  VLOOKUP(A30, '1C'!C:U, 19, 0),)</f>
        <v>6А</v>
      </c>
      <c r="H30" s="81" t="str">
        <f ca="1">IFERROR(
  VLOOKUP(A30, '1C'!C:G, 5, 0),)</f>
        <v>NTREV120D</v>
      </c>
      <c r="I30" s="90">
        <f ca="1">IFERROR( VLOOKUP(A30, '1C'!C:I, 7, 0),)</f>
        <v>0</v>
      </c>
      <c r="J30" s="91" t="str">
        <f ca="1">IFERROR(
  VLOOKUP(A30, '1C'!C:H, 6, 0),)</f>
        <v>8536 49 00 90</v>
      </c>
      <c r="K30" s="86"/>
      <c r="L30" s="92"/>
    </row>
    <row r="31" spans="1:12" ht="14.4">
      <c r="A31" s="93" t="str">
        <f ca="1">IFERROR(__xludf.DUMMYFUNCTION("iferror(IFERROR(
HYPERLINK(
  VLOOKUP(
    INDEX(UNIQUE(FLATTEN({'1C'!$W$2:W200,'1C'!$C$2:C200})), ROW(A29)), 
    '1C'!C:O, 12, 0),
  INDEX(UNIQUE(FLATTEN({'1C'!$W$2:W200,'1C'!$C$2:C200})), ROW(A29))),
MATCH(INDEX(UNIQUE(FLATTEN({'1C'!$W$2:W200,'1C'!$C$2"&amp;":C200})), ROW(A29)), L$3:L200, 0)
),)"),"REV-120n")</f>
        <v>REV-120n</v>
      </c>
      <c r="B31" s="108">
        <f ca="1">IFERROR(
  VLOOKUP(A31, '1C'!C:E, 3, 0),)</f>
        <v>25</v>
      </c>
      <c r="C31" s="108">
        <f ca="1">IFERROR(
  VLOOKUP(A31, '1C'!C:Z, 24, 0),)</f>
        <v>25</v>
      </c>
      <c r="D31" s="80" t="str">
        <f ca="1">IFERROR(
  VLOOKUP(A31, '1C'!C:K, 9, 0),)</f>
        <v>Time relay, 10 programs, potentiometers, universal power supply 24V DC and 220V AC</v>
      </c>
      <c r="E31" s="81" t="str">
        <f ca="1">IFERROR(
  VLOOKUP(A31, '1C'!C:Q, 15, 0),)</f>
        <v>DIN</v>
      </c>
      <c r="F31" s="82">
        <f ca="1">IFERROR(
  VLOOKUP(A31, '1C'!C:S, 17, 0),)</f>
        <v>1</v>
      </c>
      <c r="G31" s="83" t="str">
        <f ca="1">IFERROR(
  VLOOKUP(A31, '1C'!C:U, 19, 0),)</f>
        <v>6А</v>
      </c>
      <c r="H31" s="81" t="str">
        <f ca="1">IFERROR(
  VLOOKUP(A31, '1C'!C:G, 5, 0),)</f>
        <v>NTREV120N</v>
      </c>
      <c r="I31" s="90">
        <f ca="1">IFERROR( VLOOKUP(A31, '1C'!C:I, 7, 0),)</f>
        <v>0</v>
      </c>
      <c r="J31" s="91" t="str">
        <f ca="1">IFERROR(
  VLOOKUP(A31, '1C'!C:H, 6, 0),)</f>
        <v>8536 49 00 90</v>
      </c>
      <c r="K31" s="86"/>
      <c r="L31" s="92"/>
    </row>
    <row r="32" spans="1:12" ht="14.4">
      <c r="A32" s="88" t="str">
        <f ca="1">IFERROR(__xludf.DUMMYFUNCTION("iferror(IFERROR(
HYPERLINK(
  VLOOKUP(
    INDEX(UNIQUE(FLATTEN({'1C'!$W$2:W200,'1C'!$C$2:C200})), ROW(A30)), 
    '1C'!C:O, 12, 0),
  INDEX(UNIQUE(FLATTEN({'1C'!$W$2:W200,'1C'!$C$2:C200})), ROW(A30))),
MATCH(INDEX(UNIQUE(FLATTEN({'1C'!$W$2:W200,'1C'!$C$2"&amp;":C200})), ROW(A30)), L$3:L200, 0)
),)"),"TK-415m")</f>
        <v>TK-415m</v>
      </c>
      <c r="B32" s="108">
        <f ca="1">IFERROR(
  VLOOKUP(A32, '1C'!C:E, 3, 0),)</f>
        <v>88</v>
      </c>
      <c r="C32" s="108">
        <f ca="1">IFERROR(
  VLOOKUP(A32, '1C'!C:Z, 24, 0),)</f>
        <v>88</v>
      </c>
      <c r="D32" s="80" t="str">
        <f ca="1">IFERROR(
  VLOOKUP(A32, '1C'!C:K, 9, 0),)</f>
        <v>Sequential-combinational relay, 15 channels, process automation</v>
      </c>
      <c r="E32" s="81" t="str">
        <f ca="1">IFERROR(
  VLOOKUP(A32, '1C'!C:Q, 15, 0),)</f>
        <v>DIN</v>
      </c>
      <c r="F32" s="82">
        <f ca="1">IFERROR(
  VLOOKUP(A32, '1C'!C:S, 17, 0),)</f>
        <v>9</v>
      </c>
      <c r="G32" s="83" t="str">
        <f ca="1">IFERROR(
  VLOOKUP(A32, '1C'!C:U, 19, 0),)</f>
        <v>10А</v>
      </c>
      <c r="H32" s="81" t="str">
        <f ca="1">IFERROR(
  VLOOKUP(A32, '1C'!C:G, 5, 0),)</f>
        <v>NTREV415M</v>
      </c>
      <c r="I32" s="90">
        <f ca="1">IFERROR( VLOOKUP(A32, '1C'!C:I, 7, 0),)</f>
        <v>0</v>
      </c>
      <c r="J32" s="91" t="str">
        <f ca="1">IFERROR(
  VLOOKUP(A32, '1C'!C:H, 6, 0),)</f>
        <v>8536 49 00 90</v>
      </c>
      <c r="K32" s="86"/>
      <c r="L32" s="92"/>
    </row>
    <row r="33" spans="1:12" ht="14.4">
      <c r="A33" s="93" t="str">
        <f ca="1">IFERROR(__xludf.DUMMYFUNCTION("iferror(IFERROR(
HYPERLINK(
  VLOOKUP(
    INDEX(UNIQUE(FLATTEN({'1C'!$W$2:W200,'1C'!$C$2:C200})), ROW(A31)), 
    '1C'!C:O, 12, 0),
  INDEX(UNIQUE(FLATTEN({'1C'!$W$2:W200,'1C'!$C$2:C200})), ROW(A31))),
MATCH(INDEX(UNIQUE(FLATTEN({'1C'!$W$2:W200,'1C'!$C$2"&amp;":C200})), ROW(A31)), L$3:L200, 0)
),)"),"Phase switches")</f>
        <v>Phase switches</v>
      </c>
      <c r="B33" s="108">
        <f ca="1">IFERROR(
  VLOOKUP(A33, '1C'!C:E, 3, 0),)</f>
        <v>0</v>
      </c>
      <c r="C33" s="108">
        <f ca="1">IFERROR(
  VLOOKUP(A33, '1C'!C:Z, 24, 0),)</f>
        <v>0</v>
      </c>
      <c r="D33" s="80">
        <f ca="1">IFERROR(
  VLOOKUP(A33, '1C'!C:K, 9, 0),)</f>
        <v>0</v>
      </c>
      <c r="E33" s="81">
        <f ca="1">IFERROR(
  VLOOKUP(A33, '1C'!C:Q, 15, 0),)</f>
        <v>0</v>
      </c>
      <c r="F33" s="82">
        <f ca="1">IFERROR(
  VLOOKUP(A33, '1C'!C:S, 17, 0),)</f>
        <v>0</v>
      </c>
      <c r="G33" s="83">
        <f ca="1">IFERROR(
  VLOOKUP(A33, '1C'!C:U, 19, 0),)</f>
        <v>0</v>
      </c>
      <c r="H33" s="81">
        <f ca="1">IFERROR(
  VLOOKUP(A33, '1C'!C:G, 5, 0),)</f>
        <v>0</v>
      </c>
      <c r="I33" s="90">
        <f ca="1">IFERROR( VLOOKUP(A33, '1C'!C:I, 7, 0),)</f>
        <v>0</v>
      </c>
      <c r="J33" s="91">
        <f ca="1">IFERROR(
  VLOOKUP(A33, '1C'!C:H, 6, 0),)</f>
        <v>0</v>
      </c>
      <c r="K33" s="86"/>
      <c r="L33" s="92"/>
    </row>
    <row r="34" spans="1:12" ht="14.4">
      <c r="A34" s="88" t="str">
        <f ca="1">IFERROR(__xludf.DUMMYFUNCTION("iferror(IFERROR(
HYPERLINK(
  VLOOKUP(
    INDEX(UNIQUE(FLATTEN({'1C'!$W$2:W200,'1C'!$C$2:C200})), ROW(A32)), 
    '1C'!C:O, 12, 0),
  INDEX(UNIQUE(FLATTEN({'1C'!$W$2:W200,'1C'!$C$2:C200})), ROW(A32))),
MATCH(INDEX(UNIQUE(FLATTEN({'1C'!$W$2:W200,'1C'!$C$2"&amp;":C200})), ROW(A32)), L$3:L200, 0)
),)"),"PEF-301")</f>
        <v>PEF-301</v>
      </c>
      <c r="B34" s="108">
        <f ca="1">IFERROR(
  VLOOKUP(A34, '1C'!C:E, 3, 0),)</f>
        <v>55</v>
      </c>
      <c r="C34" s="108">
        <f ca="1">IFERROR(
  VLOOKUP(A34, '1C'!C:Z, 24, 0),)</f>
        <v>55</v>
      </c>
      <c r="D34" s="80" t="str">
        <f ca="1">IFERROR(
  VLOOKUP(A34, '1C'!C:K, 9, 0),)</f>
        <v>Phase selector, direct connection/starters</v>
      </c>
      <c r="E34" s="81" t="str">
        <f ca="1">IFERROR(
  VLOOKUP(A34, '1C'!C:Q, 15, 0),)</f>
        <v>DIN</v>
      </c>
      <c r="F34" s="82">
        <f ca="1">IFERROR(
  VLOOKUP(A34, '1C'!C:S, 17, 0),)</f>
        <v>4</v>
      </c>
      <c r="G34" s="83" t="str">
        <f ca="1">IFERROR(
  VLOOKUP(A34, '1C'!C:U, 19, 0),)</f>
        <v>16А</v>
      </c>
      <c r="H34" s="81" t="str">
        <f ca="1">IFERROR(
  VLOOKUP(A34, '1C'!C:G, 5, 0),)</f>
        <v>NTPEF3010</v>
      </c>
      <c r="I34" s="90">
        <f ca="1">IFERROR( VLOOKUP(A34, '1C'!C:I, 7, 0),)</f>
        <v>0</v>
      </c>
      <c r="J34" s="91" t="str">
        <f ca="1">IFERROR(
  VLOOKUP(A34, '1C'!C:H, 6, 0),)</f>
        <v>8536 90 95 00</v>
      </c>
      <c r="K34" s="86"/>
      <c r="L34" s="92"/>
    </row>
    <row r="35" spans="1:12" ht="14.4">
      <c r="A35" s="88" t="str">
        <f ca="1">IFERROR(__xludf.DUMMYFUNCTION("iferror(IFERROR(
HYPERLINK(
  VLOOKUP(
    INDEX(UNIQUE(FLATTEN({'1C'!$W$2:W200,'1C'!$C$2:C200})), ROW(A33)), 
    '1C'!C:O, 12, 0),
  INDEX(UNIQUE(FLATTEN({'1C'!$W$2:W200,'1C'!$C$2:C200})), ROW(A33))),
MATCH(INDEX(UNIQUE(FLATTEN({'1C'!$W$2:W200,'1C'!$C$2"&amp;":C200})), ROW(A33)), L$3:L200, 0)
),)"),"PEF-319")</f>
        <v>PEF-319</v>
      </c>
      <c r="B35" s="108">
        <f ca="1">IFERROR(
  VLOOKUP(A35, '1C'!C:E, 3, 0),)</f>
        <v>75</v>
      </c>
      <c r="C35" s="108">
        <f ca="1">IFERROR(
  VLOOKUP(A35, '1C'!C:Z, 24, 0),)</f>
        <v>75</v>
      </c>
      <c r="D35" s="80" t="str">
        <f ca="1">IFERROR(
  VLOOKUP(A35, '1C'!C:K, 9, 0),)</f>
        <v>Phase selector, direct connection/starters</v>
      </c>
      <c r="E35" s="81" t="str">
        <f ca="1">IFERROR(
  VLOOKUP(A35, '1C'!C:Q, 15, 0),)</f>
        <v>DIN</v>
      </c>
      <c r="F35" s="82">
        <f ca="1">IFERROR(
  VLOOKUP(A35, '1C'!C:S, 17, 0),)</f>
        <v>9</v>
      </c>
      <c r="G35" s="83" t="str">
        <f ca="1">IFERROR(
  VLOOKUP(A35, '1C'!C:U, 19, 0),)</f>
        <v>32А</v>
      </c>
      <c r="H35" s="81" t="str">
        <f ca="1">IFERROR(
  VLOOKUP(A35, '1C'!C:G, 5, 0),)</f>
        <v>NTPEF3190</v>
      </c>
      <c r="I35" s="90">
        <f ca="1">IFERROR( VLOOKUP(A35, '1C'!C:I, 7, 0),)</f>
        <v>0</v>
      </c>
      <c r="J35" s="91" t="str">
        <f ca="1">IFERROR(
  VLOOKUP(A35, '1C'!C:H, 6, 0),)</f>
        <v>8536 90 95 00</v>
      </c>
      <c r="K35" s="86"/>
      <c r="L35" s="92"/>
    </row>
    <row r="36" spans="1:12" ht="14.4">
      <c r="A36" s="88" t="str">
        <f ca="1">IFERROR(__xludf.DUMMYFUNCTION("iferror(IFERROR(
HYPERLINK(
  VLOOKUP(
    INDEX(UNIQUE(FLATTEN({'1C'!$W$2:W200,'1C'!$C$2:C200})), ROW(A34)), 
    '1C'!C:O, 12, 0),
  INDEX(UNIQUE(FLATTEN({'1C'!$W$2:W200,'1C'!$C$2:C200})), ROW(A34))),
MATCH(INDEX(UNIQUE(FLATTEN({'1C'!$W$2:W200,'1C'!$C$2"&amp;":C200})), ROW(A34)), L$3:L200, 0)
),)"),"PEF-320")</f>
        <v>PEF-320</v>
      </c>
      <c r="B36" s="108">
        <f ca="1">IFERROR(
  VLOOKUP(A36, '1C'!C:E, 3, 0),)</f>
        <v>50</v>
      </c>
      <c r="C36" s="108">
        <f ca="1">IFERROR(
  VLOOKUP(A36, '1C'!C:Z, 24, 0),)</f>
        <v>50</v>
      </c>
      <c r="D36" s="80" t="str">
        <f ca="1">IFERROR(
  VLOOKUP(A36, '1C'!C:K, 9, 0),)</f>
        <v>Phase selector, direct connection</v>
      </c>
      <c r="E36" s="81" t="str">
        <f ca="1">IFERROR(
  VLOOKUP(A36, '1C'!C:Q, 15, 0),)</f>
        <v>DIN</v>
      </c>
      <c r="F36" s="82">
        <f ca="1">IFERROR(
  VLOOKUP(A36, '1C'!C:S, 17, 0),)</f>
        <v>2</v>
      </c>
      <c r="G36" s="83" t="str">
        <f ca="1">IFERROR(
  VLOOKUP(A36, '1C'!C:U, 19, 0),)</f>
        <v>16А</v>
      </c>
      <c r="H36" s="81" t="str">
        <f ca="1">IFERROR(
  VLOOKUP(A36, '1C'!C:G, 5, 0),)</f>
        <v>NTPEF3200</v>
      </c>
      <c r="I36" s="90">
        <f ca="1">IFERROR( VLOOKUP(A36, '1C'!C:I, 7, 0),)</f>
        <v>0</v>
      </c>
      <c r="J36" s="91" t="str">
        <f ca="1">IFERROR(
  VLOOKUP(A36, '1C'!C:H, 6, 0),)</f>
        <v>8536 90 95 00</v>
      </c>
      <c r="K36" s="86"/>
      <c r="L36" s="92"/>
    </row>
    <row r="37" spans="1:12" ht="14.4">
      <c r="A37" s="93" t="str">
        <f ca="1">IFERROR(__xludf.DUMMYFUNCTION("iferror(IFERROR(
HYPERLINK(
  VLOOKUP(
    INDEX(UNIQUE(FLATTEN({'1C'!$W$2:W200,'1C'!$C$2:C200})), ROW(A35)), 
    '1C'!C:O, 12, 0),
  INDEX(UNIQUE(FLATTEN({'1C'!$W$2:W200,'1C'!$C$2:C200})), ROW(A35))),
MATCH(INDEX(UNIQUE(FLATTEN({'1C'!$W$2:W200,'1C'!$C$2"&amp;":C200})), ROW(A35)), L$3:L200, 0)
),)"),"PEF-305")</f>
        <v>PEF-305</v>
      </c>
      <c r="B37" s="108" t="str">
        <f ca="1">IFERROR(
  VLOOKUP(A37, '1C'!C:E, 3, 0),)</f>
        <v>-</v>
      </c>
      <c r="C37" s="108" t="str">
        <f ca="1">IFERROR(
  VLOOKUP(A37, '1C'!C:Z, 24, 0),)</f>
        <v>-</v>
      </c>
      <c r="D37" s="80" t="str">
        <f ca="1">IFERROR(
  VLOOKUP(A37, '1C'!C:K, 9, 0),)</f>
        <v>-</v>
      </c>
      <c r="E37" s="81" t="str">
        <f ca="1">IFERROR(
  VLOOKUP(A37, '1C'!C:Q, 15, 0),)</f>
        <v>DIN</v>
      </c>
      <c r="F37" s="82">
        <f ca="1">IFERROR(
  VLOOKUP(A37, '1C'!C:S, 17, 0),)</f>
        <v>2</v>
      </c>
      <c r="G37" s="83" t="str">
        <f ca="1">IFERROR(
  VLOOKUP(A37, '1C'!C:U, 19, 0),)</f>
        <v>16А</v>
      </c>
      <c r="H37" s="81" t="str">
        <f ca="1">IFERROR(
  VLOOKUP(A37, '1C'!C:G, 5, 0),)</f>
        <v>-</v>
      </c>
      <c r="I37" s="90">
        <f ca="1">IFERROR( VLOOKUP(A37, '1C'!C:I, 7, 0),)</f>
        <v>0</v>
      </c>
      <c r="J37" s="91" t="str">
        <f ca="1">IFERROR(
  VLOOKUP(A37, '1C'!C:H, 6, 0),)</f>
        <v>-</v>
      </c>
      <c r="K37" s="86"/>
      <c r="L37" s="92"/>
    </row>
    <row r="38" spans="1:12" ht="14.4">
      <c r="A38" s="93" t="str">
        <f ca="1">IFERROR(__xludf.DUMMYFUNCTION("iferror(IFERROR(
HYPERLINK(
  VLOOKUP(
    INDEX(UNIQUE(FLATTEN({'1C'!$W$2:W200,'1C'!$C$2:C200})), ROW(A36)), 
    '1C'!C:O, 12, 0),
  INDEX(UNIQUE(FLATTEN({'1C'!$W$2:W200,'1C'!$C$2:C200})), ROW(A36))),
MATCH(INDEX(UNIQUE(FLATTEN({'1C'!$W$2:W200,'1C'!$C$2"&amp;":C200})), ROW(A36)), L$3:L200, 0)
),)"),"Electric motors protection units")</f>
        <v>Electric motors protection units</v>
      </c>
      <c r="B38" s="108">
        <f ca="1">IFERROR(
  VLOOKUP(A38, '1C'!C:E, 3, 0),)</f>
        <v>0</v>
      </c>
      <c r="C38" s="108">
        <f ca="1">IFERROR(
  VLOOKUP(A38, '1C'!C:Z, 24, 0),)</f>
        <v>0</v>
      </c>
      <c r="D38" s="80">
        <f ca="1">IFERROR(
  VLOOKUP(A38, '1C'!C:K, 9, 0),)</f>
        <v>0</v>
      </c>
      <c r="E38" s="81">
        <f ca="1">IFERROR(
  VLOOKUP(A38, '1C'!C:Q, 15, 0),)</f>
        <v>0</v>
      </c>
      <c r="F38" s="82">
        <f ca="1">IFERROR(
  VLOOKUP(A38, '1C'!C:S, 17, 0),)</f>
        <v>0</v>
      </c>
      <c r="G38" s="83">
        <f ca="1">IFERROR(
  VLOOKUP(A38, '1C'!C:U, 19, 0),)</f>
        <v>0</v>
      </c>
      <c r="H38" s="81">
        <f ca="1">IFERROR(
  VLOOKUP(A38, '1C'!C:G, 5, 0),)</f>
        <v>0</v>
      </c>
      <c r="I38" s="90">
        <f ca="1">IFERROR( VLOOKUP(A38, '1C'!C:I, 7, 0),)</f>
        <v>0</v>
      </c>
      <c r="J38" s="91">
        <f ca="1">IFERROR(
  VLOOKUP(A38, '1C'!C:H, 6, 0),)</f>
        <v>0</v>
      </c>
      <c r="K38" s="86"/>
      <c r="L38" s="92"/>
    </row>
    <row r="39" spans="1:12" ht="14.4">
      <c r="A39" s="88" t="str">
        <f ca="1">IFERROR(__xludf.DUMMYFUNCTION("iferror(IFERROR(
HYPERLINK(
  VLOOKUP(
    INDEX(UNIQUE(FLATTEN({'1C'!$W$2:W200,'1C'!$C$2:C200})), ROW(A37)), 
    '1C'!C:O, 12, 0),
  INDEX(UNIQUE(FLATTEN({'1C'!$W$2:W200,'1C'!$C$2:C200})), ROW(A37))),
MATCH(INDEX(UNIQUE(FLATTEN({'1C'!$W$2:W200,'1C'!$C$2"&amp;":C200})), ROW(A37)), L$3:L200, 0)
),)"),"UBZ-301 5-50 A")</f>
        <v>UBZ-301 5-50 A</v>
      </c>
      <c r="B39" s="108">
        <f ca="1">IFERROR(
  VLOOKUP(A39, '1C'!C:E, 3, 0),)</f>
        <v>80</v>
      </c>
      <c r="C39" s="108">
        <f ca="1">IFERROR(
  VLOOKUP(A39, '1C'!C:Z, 24, 0),)</f>
        <v>88</v>
      </c>
      <c r="D39" s="80" t="str">
        <f ca="1">IFERROR(
  VLOOKUP(A39, '1C'!C:K, 9, 0),)</f>
        <v>Сurrent, voltage, overload protection, motor overheating protection, C /T included</v>
      </c>
      <c r="E39" s="81" t="str">
        <f ca="1">IFERROR(
  VLOOKUP(A39, '1C'!C:Q, 15, 0),)</f>
        <v>DIN</v>
      </c>
      <c r="F39" s="82">
        <f ca="1">IFERROR(
  VLOOKUP(A39, '1C'!C:S, 17, 0),)</f>
        <v>4</v>
      </c>
      <c r="G39" s="83" t="str">
        <f ca="1">IFERROR(
  VLOOKUP(A39, '1C'!C:U, 19, 0),)</f>
        <v>5-50А, Contactor</v>
      </c>
      <c r="H39" s="81" t="str">
        <f ca="1">IFERROR(
  VLOOKUP(A39, '1C'!C:G, 5, 0),)</f>
        <v>NTBZ30105</v>
      </c>
      <c r="I39" s="90">
        <f ca="1">IFERROR( VLOOKUP(A39, '1C'!C:I, 7, 0),)</f>
        <v>0</v>
      </c>
      <c r="J39" s="91" t="str">
        <f ca="1">IFERROR(
  VLOOKUP(A39, '1C'!C:H, 6, 0),)</f>
        <v>8536 90 95 00</v>
      </c>
      <c r="K39" s="86"/>
      <c r="L39" s="92"/>
    </row>
    <row r="40" spans="1:12" ht="14.4">
      <c r="A40" s="88" t="str">
        <f ca="1">IFERROR(__xludf.DUMMYFUNCTION("iferror(IFERROR(
HYPERLINK(
  VLOOKUP(
    INDEX(UNIQUE(FLATTEN({'1C'!$W$2:W200,'1C'!$C$2:C200})), ROW(A38)), 
    '1C'!C:O, 12, 0),
  INDEX(UNIQUE(FLATTEN({'1C'!$W$2:W200,'1C'!$C$2:C200})), ROW(A38))),
MATCH(INDEX(UNIQUE(FLATTEN({'1C'!$W$2:W200,'1C'!$C$2"&amp;":C200})), ROW(A38)), L$3:L200, 0)
),)"),"UBZ-301 10-100 A")</f>
        <v>UBZ-301 10-100 A</v>
      </c>
      <c r="B40" s="108">
        <f ca="1">IFERROR(
  VLOOKUP(A40, '1C'!C:E, 3, 0),)</f>
        <v>90</v>
      </c>
      <c r="C40" s="108">
        <f ca="1">IFERROR(
  VLOOKUP(A40, '1C'!C:Z, 24, 0),)</f>
        <v>99</v>
      </c>
      <c r="D40" s="80" t="str">
        <f ca="1">IFERROR(
  VLOOKUP(A40, '1C'!C:K, 9, 0),)</f>
        <v>Сurrent, voltage, overload protection, motor overheating protection, C /T included</v>
      </c>
      <c r="E40" s="81" t="str">
        <f ca="1">IFERROR(
  VLOOKUP(A40, '1C'!C:Q, 15, 0),)</f>
        <v>DIN</v>
      </c>
      <c r="F40" s="82">
        <f ca="1">IFERROR(
  VLOOKUP(A40, '1C'!C:S, 17, 0),)</f>
        <v>4</v>
      </c>
      <c r="G40" s="83" t="str">
        <f ca="1">IFERROR(
  VLOOKUP(A40, '1C'!C:U, 19, 0),)</f>
        <v>10-100А, Contactor</v>
      </c>
      <c r="H40" s="81" t="str">
        <f ca="1">IFERROR(
  VLOOKUP(A40, '1C'!C:G, 5, 0),)</f>
        <v>NTBZ30110</v>
      </c>
      <c r="I40" s="90">
        <f ca="1">IFERROR( VLOOKUP(A40, '1C'!C:I, 7, 0),)</f>
        <v>0</v>
      </c>
      <c r="J40" s="91" t="str">
        <f ca="1">IFERROR(
  VLOOKUP(A40, '1C'!C:H, 6, 0),)</f>
        <v>8536 90 95 00</v>
      </c>
      <c r="K40" s="86"/>
      <c r="L40" s="92"/>
    </row>
    <row r="41" spans="1:12" ht="14.4">
      <c r="A41" s="88" t="str">
        <f ca="1">IFERROR(__xludf.DUMMYFUNCTION("iferror(IFERROR(
HYPERLINK(
  VLOOKUP(
    INDEX(UNIQUE(FLATTEN({'1C'!$W$2:W200,'1C'!$C$2:C200})), ROW(A39)), 
    '1C'!C:O, 12, 0),
  INDEX(UNIQUE(FLATTEN({'1C'!$W$2:W200,'1C'!$C$2:C200})), ROW(A39))),
MATCH(INDEX(UNIQUE(FLATTEN({'1C'!$W$2:W200,'1C'!$C$2"&amp;":C200})), ROW(A39)), L$3:L200, 0)
),)"),"UBZ-301 63-630 A")</f>
        <v>UBZ-301 63-630 A</v>
      </c>
      <c r="B41" s="108">
        <f ca="1">IFERROR(
  VLOOKUP(A41, '1C'!C:E, 3, 0),)</f>
        <v>100</v>
      </c>
      <c r="C41" s="108">
        <f ca="1">IFERROR(
  VLOOKUP(A41, '1C'!C:Z, 24, 0),)</f>
        <v>111</v>
      </c>
      <c r="D41" s="80" t="str">
        <f ca="1">IFERROR(
  VLOOKUP(A41, '1C'!C:K, 9, 0),)</f>
        <v>Сurrent, voltage, overload protection, motor overheating protection, C /T included</v>
      </c>
      <c r="E41" s="81" t="str">
        <f ca="1">IFERROR(
  VLOOKUP(A41, '1C'!C:Q, 15, 0),)</f>
        <v>DIN</v>
      </c>
      <c r="F41" s="82">
        <f ca="1">IFERROR(
  VLOOKUP(A41, '1C'!C:S, 17, 0),)</f>
        <v>4</v>
      </c>
      <c r="G41" s="83" t="str">
        <f ca="1">IFERROR(
  VLOOKUP(A41, '1C'!C:U, 19, 0),)</f>
        <v>63-630А, Contactor</v>
      </c>
      <c r="H41" s="81" t="str">
        <f ca="1">IFERROR(
  VLOOKUP(A41, '1C'!C:G, 5, 0),)</f>
        <v>NTBZ30163</v>
      </c>
      <c r="I41" s="90">
        <f ca="1">IFERROR( VLOOKUP(A41, '1C'!C:I, 7, 0),)</f>
        <v>0</v>
      </c>
      <c r="J41" s="91" t="str">
        <f ca="1">IFERROR(
  VLOOKUP(A41, '1C'!C:H, 6, 0),)</f>
        <v>8536 90 95 00</v>
      </c>
      <c r="K41" s="86"/>
      <c r="L41" s="92"/>
    </row>
    <row r="42" spans="1:12" ht="14.4">
      <c r="A42" s="93" t="str">
        <f ca="1">IFERROR(__xludf.DUMMYFUNCTION("iferror(IFERROR(
HYPERLINK(
  VLOOKUP(
    INDEX(UNIQUE(FLATTEN({'1C'!$W$2:W200,'1C'!$C$2:C200})), ROW(A40)), 
    '1C'!C:O, 12, 0),
  INDEX(UNIQUE(FLATTEN({'1C'!$W$2:W200,'1C'!$C$2:C200})), ROW(A40))),
MATCH(INDEX(UNIQUE(FLATTEN({'1C'!$W$2:W200,'1C'!$C$2"&amp;":C200})), ROW(A40)), L$3:L200, 0)
),)"),"UBZ-301-01 5-50 A")</f>
        <v>UBZ-301-01 5-50 A</v>
      </c>
      <c r="B42" s="108">
        <f ca="1">IFERROR(
  VLOOKUP(A42, '1C'!C:E, 3, 0),)</f>
        <v>90</v>
      </c>
      <c r="C42" s="108">
        <f ca="1">IFERROR(
  VLOOKUP(A42, '1C'!C:Z, 24, 0),)</f>
        <v>99</v>
      </c>
      <c r="D42" s="80" t="str">
        <f ca="1">IFERROR(
  VLOOKUP(A42, '1C'!C:K, 9, 0),)</f>
        <v>Сurrent, voltage, overload protection, motor overheating protection, C /T included</v>
      </c>
      <c r="E42" s="81" t="str">
        <f ca="1">IFERROR(
  VLOOKUP(A42, '1C'!C:Q, 15, 0),)</f>
        <v>DIN</v>
      </c>
      <c r="F42" s="82">
        <f ca="1">IFERROR(
  VLOOKUP(A42, '1C'!C:S, 17, 0),)</f>
        <v>4</v>
      </c>
      <c r="G42" s="83" t="str">
        <f ca="1">IFERROR(
  VLOOKUP(A42, '1C'!C:U, 19, 0),)</f>
        <v>5-50А, Contactor</v>
      </c>
      <c r="H42" s="81" t="str">
        <f ca="1">IFERROR(
  VLOOKUP(A42, '1C'!C:G, 5, 0),)</f>
        <v>NTBZ30101</v>
      </c>
      <c r="I42" s="90">
        <f ca="1">IFERROR( VLOOKUP(A42, '1C'!C:I, 7, 0),)</f>
        <v>0</v>
      </c>
      <c r="J42" s="91" t="str">
        <f ca="1">IFERROR(
  VLOOKUP(A42, '1C'!C:H, 6, 0),)</f>
        <v>8536 90 95 00</v>
      </c>
      <c r="K42" s="86"/>
      <c r="L42" s="92"/>
    </row>
    <row r="43" spans="1:12" ht="26.4">
      <c r="A43" s="88" t="str">
        <f ca="1">IFERROR(__xludf.DUMMYFUNCTION("iferror(IFERROR(
HYPERLINK(
  VLOOKUP(
    INDEX(UNIQUE(FLATTEN({'1C'!$W$2:W200,'1C'!$C$2:C200})), ROW(A41)), 
    '1C'!C:O, 12, 0),
  INDEX(UNIQUE(FLATTEN({'1C'!$W$2:W200,'1C'!$C$2:C200})), ROW(A41))),
MATCH(INDEX(UNIQUE(FLATTEN({'1C'!$W$2:W200,'1C'!$C$2"&amp;":C200})), ROW(A41)), L$3:L200, 0)
),)"),"UBZ-302m")</f>
        <v>UBZ-302m</v>
      </c>
      <c r="B43" s="108">
        <f ca="1">IFERROR(
  VLOOKUP(A43, '1C'!C:E, 3, 0),)</f>
        <v>134</v>
      </c>
      <c r="C43" s="108">
        <f ca="1">IFERROR(
  VLOOKUP(A43, '1C'!C:Z, 24, 0),)</f>
        <v>148</v>
      </c>
      <c r="D43" s="80" t="str">
        <f ca="1">IFERROR(
  VLOOKUP(A43, '1C'!C:K, 9, 0),)</f>
        <v>Сurrent, voltage, overload protection, motor overheating protection, C /T built-in or external x / 5 up to 315 kW, ModBus</v>
      </c>
      <c r="E43" s="81" t="str">
        <f ca="1">IFERROR(
  VLOOKUP(A43, '1C'!C:Q, 15, 0),)</f>
        <v>DIN</v>
      </c>
      <c r="F43" s="82">
        <f ca="1">IFERROR(
  VLOOKUP(A43, '1C'!C:S, 17, 0),)</f>
        <v>9</v>
      </c>
      <c r="G43" s="83" t="str">
        <f ca="1">IFERROR(
  VLOOKUP(A43, '1C'!C:U, 19, 0),)</f>
        <v>5-630А, Contactor</v>
      </c>
      <c r="H43" s="81" t="str">
        <f ca="1">IFERROR(
  VLOOKUP(A43, '1C'!C:G, 5, 0),)</f>
        <v>NTBZ302M0</v>
      </c>
      <c r="I43" s="90">
        <f ca="1">IFERROR( VLOOKUP(A43, '1C'!C:I, 7, 0),)</f>
        <v>0</v>
      </c>
      <c r="J43" s="91" t="str">
        <f ca="1">IFERROR(
  VLOOKUP(A43, '1C'!C:H, 6, 0),)</f>
        <v>8536 90 95 00</v>
      </c>
      <c r="K43" s="86"/>
      <c r="L43" s="92"/>
    </row>
    <row r="44" spans="1:12" ht="26.4">
      <c r="A44" s="88" t="str">
        <f ca="1">IFERROR(__xludf.DUMMYFUNCTION("iferror(IFERROR(
HYPERLINK(
  VLOOKUP(
    INDEX(UNIQUE(FLATTEN({'1C'!$W$2:W200,'1C'!$C$2:C200})), ROW(A42)), 
    '1C'!C:O, 12, 0),
  INDEX(UNIQUE(FLATTEN({'1C'!$W$2:W200,'1C'!$C$2:C200})), ROW(A42))),
MATCH(INDEX(UNIQUE(FLATTEN({'1C'!$W$2:W200,'1C'!$C$2"&amp;":C200})), ROW(A42)), L$3:L200, 0)
),)"),"UBZ-302-01")</f>
        <v>UBZ-302-01</v>
      </c>
      <c r="B44" s="108">
        <f ca="1">IFERROR(
  VLOOKUP(A44, '1C'!C:E, 3, 0),)</f>
        <v>143</v>
      </c>
      <c r="C44" s="108">
        <f ca="1">IFERROR(
  VLOOKUP(A44, '1C'!C:Z, 24, 0),)</f>
        <v>158</v>
      </c>
      <c r="D44" s="80" t="str">
        <f ca="1">IFERROR(
  VLOOKUP(A44, '1C'!C:K, 9, 0),)</f>
        <v>Сurrent, voltage, overload protection, elevator motor overheating protection up to 50 A, C /T  built-in, ModBus</v>
      </c>
      <c r="E44" s="81" t="str">
        <f ca="1">IFERROR(
  VLOOKUP(A44, '1C'!C:Q, 15, 0),)</f>
        <v>DIN</v>
      </c>
      <c r="F44" s="82">
        <f ca="1">IFERROR(
  VLOOKUP(A44, '1C'!C:S, 17, 0),)</f>
        <v>9</v>
      </c>
      <c r="G44" s="83" t="str">
        <f ca="1">IFERROR(
  VLOOKUP(A44, '1C'!C:U, 19, 0),)</f>
        <v>5-630А, Contactor</v>
      </c>
      <c r="H44" s="81" t="str">
        <f ca="1">IFERROR(
  VLOOKUP(A44, '1C'!C:G, 5, 0),)</f>
        <v>NTBZ30201</v>
      </c>
      <c r="I44" s="90">
        <f ca="1">IFERROR( VLOOKUP(A44, '1C'!C:I, 7, 0),)</f>
        <v>0</v>
      </c>
      <c r="J44" s="91" t="str">
        <f ca="1">IFERROR(
  VLOOKUP(A44, '1C'!C:H, 6, 0),)</f>
        <v>8536 90 95 00</v>
      </c>
      <c r="K44" s="86"/>
      <c r="L44" s="92"/>
    </row>
    <row r="45" spans="1:12" ht="26.4">
      <c r="A45" s="93" t="str">
        <f ca="1">IFERROR(__xludf.DUMMYFUNCTION("iferror(IFERROR(
HYPERLINK(
  VLOOKUP(
    INDEX(UNIQUE(FLATTEN({'1C'!$W$2:W200,'1C'!$C$2:C200})), ROW(A43)), 
    '1C'!C:O, 12, 0),
  INDEX(UNIQUE(FLATTEN({'1C'!$W$2:W200,'1C'!$C$2:C200})), ROW(A43))),
MATCH(INDEX(UNIQUE(FLATTEN({'1C'!$W$2:W200,'1C'!$C$2"&amp;":C200})), ROW(A43)), L$3:L200, 0)
),)"),"UBZ-302-02")</f>
        <v>UBZ-302-02</v>
      </c>
      <c r="B45" s="108">
        <f ca="1">IFERROR(
  VLOOKUP(A45, '1C'!C:E, 3, 0),)</f>
        <v>143</v>
      </c>
      <c r="C45" s="108">
        <f ca="1">IFERROR(
  VLOOKUP(A45, '1C'!C:Z, 24, 0),)</f>
        <v>158</v>
      </c>
      <c r="D45" s="80" t="str">
        <f ca="1">IFERROR(
  VLOOKUP(A45, '1C'!C:K, 9, 0),)</f>
        <v>Сurrent, voltage, overload protection, low-power motor overheating protection from 0.25 kW to 3.3 kW, C /T built-in, ModBus</v>
      </c>
      <c r="E45" s="81" t="str">
        <f ca="1">IFERROR(
  VLOOKUP(A45, '1C'!C:Q, 15, 0),)</f>
        <v>DIN</v>
      </c>
      <c r="F45" s="82">
        <f ca="1">IFERROR(
  VLOOKUP(A45, '1C'!C:S, 17, 0),)</f>
        <v>9</v>
      </c>
      <c r="G45" s="83" t="str">
        <f ca="1">IFERROR(
  VLOOKUP(A45, '1C'!C:U, 19, 0),)</f>
        <v>0,25kW-3,3kW, Contactor</v>
      </c>
      <c r="H45" s="81" t="str">
        <f ca="1">IFERROR(
  VLOOKUP(A45, '1C'!C:G, 5, 0),)</f>
        <v>NTBZ30202</v>
      </c>
      <c r="I45" s="90">
        <f ca="1">IFERROR( VLOOKUP(A45, '1C'!C:I, 7, 0),)</f>
        <v>0</v>
      </c>
      <c r="J45" s="91" t="str">
        <f ca="1">IFERROR(
  VLOOKUP(A45, '1C'!C:H, 6, 0),)</f>
        <v>8536 90 95 00</v>
      </c>
      <c r="K45" s="86"/>
      <c r="L45" s="92"/>
    </row>
    <row r="46" spans="1:12" ht="26.4">
      <c r="A46" s="88" t="str">
        <f ca="1">IFERROR(__xludf.DUMMYFUNCTION("iferror(IFERROR(
HYPERLINK(
  VLOOKUP(
    INDEX(UNIQUE(FLATTEN({'1C'!$W$2:W200,'1C'!$C$2:C200})), ROW(A44)), 
    '1C'!C:O, 12, 0),
  INDEX(UNIQUE(FLATTEN({'1C'!$W$2:W200,'1C'!$C$2:C200})), ROW(A44))),
MATCH(INDEX(UNIQUE(FLATTEN({'1C'!$W$2:W200,'1C'!$C$2"&amp;":C200})), ROW(A44)), L$3:L200, 0)
),)"),"UBZ-305m")</f>
        <v>UBZ-305m</v>
      </c>
      <c r="B46" s="108">
        <f ca="1">IFERROR(
  VLOOKUP(A46, '1C'!C:E, 3, 0),)</f>
        <v>179</v>
      </c>
      <c r="C46" s="108">
        <f ca="1">IFERROR(
  VLOOKUP(A46, '1C'!C:Z, 24, 0),)</f>
        <v>197</v>
      </c>
      <c r="D46" s="80" t="str">
        <f ca="1">IFERROR(
  VLOOKUP(A46, '1C'!C:K, 9, 0),)</f>
        <v>Nom. current up to 315 kW, C /T not included, motor hours and electricity meter, LCD screen, DIN rail, ModBus</v>
      </c>
      <c r="E46" s="81" t="str">
        <f ca="1">IFERROR(
  VLOOKUP(A46, '1C'!C:Q, 15, 0),)</f>
        <v>DIN</v>
      </c>
      <c r="F46" s="82">
        <f ca="1">IFERROR(
  VLOOKUP(A46, '1C'!C:S, 17, 0),)</f>
        <v>9</v>
      </c>
      <c r="G46" s="83" t="str">
        <f ca="1">IFERROR(
  VLOOKUP(A46, '1C'!C:U, 19, 0),)</f>
        <v>5-630А, Contactor</v>
      </c>
      <c r="H46" s="81" t="str">
        <f ca="1">IFERROR(
  VLOOKUP(A46, '1C'!C:G, 5, 0),)</f>
        <v>NTBZ305M0</v>
      </c>
      <c r="I46" s="90">
        <f ca="1">IFERROR( VLOOKUP(A46, '1C'!C:I, 7, 0),)</f>
        <v>0</v>
      </c>
      <c r="J46" s="91" t="str">
        <f ca="1">IFERROR(
  VLOOKUP(A46, '1C'!C:H, 6, 0),)</f>
        <v>8536 90 95 00</v>
      </c>
      <c r="K46" s="86"/>
      <c r="L46" s="92"/>
    </row>
    <row r="47" spans="1:12" ht="26.4">
      <c r="A47" s="88" t="str">
        <f ca="1">IFERROR(__xludf.DUMMYFUNCTION("iferror(IFERROR(
HYPERLINK(
  VLOOKUP(
    INDEX(UNIQUE(FLATTEN({'1C'!$W$2:W200,'1C'!$C$2:C200})), ROW(A45)), 
    '1C'!C:O, 12, 0),
  INDEX(UNIQUE(FLATTEN({'1C'!$W$2:W200,'1C'!$C$2:C200})), ROW(A45))),
MATCH(INDEX(UNIQUE(FLATTEN({'1C'!$W$2:W200,'1C'!$C$2"&amp;":C200})), ROW(A45)), L$3:L200, 0)
),)"),"UBZ-304")</f>
        <v>UBZ-304</v>
      </c>
      <c r="B47" s="108">
        <f ca="1">IFERROR(
  VLOOKUP(A47, '1C'!C:E, 3, 0),)</f>
        <v>183</v>
      </c>
      <c r="C47" s="108">
        <f ca="1">IFERROR(
  VLOOKUP(A47, '1C'!C:Z, 24, 0),)</f>
        <v>202</v>
      </c>
      <c r="D47" s="80" t="str">
        <f ca="1">IFERROR(
  VLOOKUP(A47, '1C'!C:K, 9, 0),)</f>
        <v>Nom. current up to 315 kW, C /T not included, motor hours and electricity meter, LCD screen, panel version, ModBus</v>
      </c>
      <c r="E47" s="81" t="str">
        <f ca="1">IFERROR(
  VLOOKUP(A47, '1C'!C:Q, 15, 0),)</f>
        <v>Panel</v>
      </c>
      <c r="F47" s="82" t="str">
        <f ca="1">IFERROR(
  VLOOKUP(A47, '1C'!C:S, 17, 0),)</f>
        <v>-</v>
      </c>
      <c r="G47" s="83" t="str">
        <f ca="1">IFERROR(
  VLOOKUP(A47, '1C'!C:U, 19, 0),)</f>
        <v>5-630А, Contactor</v>
      </c>
      <c r="H47" s="81" t="str">
        <f ca="1">IFERROR(
  VLOOKUP(A47, '1C'!C:G, 5, 0),)</f>
        <v>NTBZ30400</v>
      </c>
      <c r="I47" s="90">
        <f ca="1">IFERROR( VLOOKUP(A47, '1C'!C:I, 7, 0),)</f>
        <v>0</v>
      </c>
      <c r="J47" s="91" t="str">
        <f ca="1">IFERROR(
  VLOOKUP(A47, '1C'!C:H, 6, 0),)</f>
        <v>8536 90 95 00</v>
      </c>
      <c r="K47" s="86"/>
      <c r="L47" s="92"/>
    </row>
    <row r="48" spans="1:12" ht="14.4">
      <c r="A48" s="93" t="str">
        <f ca="1">IFERROR(__xludf.DUMMYFUNCTION("iferror(IFERROR(
HYPERLINK(
  VLOOKUP(
    INDEX(UNIQUE(FLATTEN({'1C'!$W$2:W200,'1C'!$C$2:C200})), ROW(A46)), 
    '1C'!C:O, 12, 0),
  INDEX(UNIQUE(FLATTEN({'1C'!$W$2:W200,'1C'!$C$2:C200})), ROW(A46))),
MATCH(INDEX(UNIQUE(FLATTEN({'1C'!$W$2:W200,'1C'!$C$2"&amp;":C200})), ROW(A46)), L$3:L200, 0)
),)"),"UBZ-306M")</f>
        <v>UBZ-306M</v>
      </c>
      <c r="B48" s="108">
        <f ca="1">IFERROR(
  VLOOKUP(A48, '1C'!C:E, 3, 0),)</f>
        <v>179</v>
      </c>
      <c r="C48" s="108">
        <f ca="1">IFERROR(
  VLOOKUP(A48, '1C'!C:Z, 24, 0),)</f>
        <v>197</v>
      </c>
      <c r="D48" s="80" t="str">
        <f ca="1">IFERROR(
  VLOOKUP(A48, '1C'!C:K, 9, 0),)</f>
        <v>Rated current up to 315 kW, C/T not included, LCD screen for swinging machine, DIN-rail, ModBus</v>
      </c>
      <c r="E48" s="81" t="str">
        <f ca="1">IFERROR(
  VLOOKUP(A48, '1C'!C:Q, 15, 0),)</f>
        <v>DIN</v>
      </c>
      <c r="F48" s="82">
        <f ca="1">IFERROR(
  VLOOKUP(A48, '1C'!C:S, 17, 0),)</f>
        <v>9</v>
      </c>
      <c r="G48" s="83" t="str">
        <f ca="1">IFERROR(
  VLOOKUP(A48, '1C'!C:U, 19, 0),)</f>
        <v>5-630А, Contactor</v>
      </c>
      <c r="H48" s="81" t="str">
        <f ca="1">IFERROR(
  VLOOKUP(A48, '1C'!C:G, 5, 0),)</f>
        <v>NTBZ30600</v>
      </c>
      <c r="I48" s="90">
        <f ca="1">IFERROR( VLOOKUP(A48, '1C'!C:I, 7, 0),)</f>
        <v>0</v>
      </c>
      <c r="J48" s="91" t="str">
        <f ca="1">IFERROR(
  VLOOKUP(A48, '1C'!C:H, 6, 0),)</f>
        <v>8536 90 95 00</v>
      </c>
      <c r="K48" s="86"/>
      <c r="L48" s="92"/>
    </row>
    <row r="49" spans="1:12" ht="14.4">
      <c r="A49" s="88" t="str">
        <f ca="1">IFERROR(__xludf.DUMMYFUNCTION("iferror(IFERROR(
HYPERLINK(
  VLOOKUP(
    INDEX(UNIQUE(FLATTEN({'1C'!$W$2:W200,'1C'!$C$2:C200})), ROW(A47)), 
    '1C'!C:O, 12, 0),
  INDEX(UNIQUE(FLATTEN({'1C'!$W$2:W200,'1C'!$C$2:C200})), ROW(A47))),
MATCH(INDEX(UNIQUE(FLATTEN({'1C'!$W$2:W200,'1C'!$C$2"&amp;":C200})), ROW(A47)), L$3:L200, 0)
),)"),"UBZ-115")</f>
        <v>UBZ-115</v>
      </c>
      <c r="B49" s="108">
        <f ca="1">IFERROR(
  VLOOKUP(A49, '1C'!C:E, 3, 0),)</f>
        <v>69</v>
      </c>
      <c r="C49" s="108">
        <f ca="1">IFERROR(
  VLOOKUP(A49, '1C'!C:Z, 24, 0),)</f>
        <v>69</v>
      </c>
      <c r="D49" s="80" t="str">
        <f ca="1">IFERROR(
  VLOOKUP(A49, '1C'!C:K, 9, 0),)</f>
        <v>Protection of single-phase motors</v>
      </c>
      <c r="E49" s="81" t="str">
        <f ca="1">IFERROR(
  VLOOKUP(A49, '1C'!C:Q, 15, 0),)</f>
        <v>Wall</v>
      </c>
      <c r="F49" s="82" t="str">
        <f ca="1">IFERROR(
  VLOOKUP(A49, '1C'!C:S, 17, 0),)</f>
        <v>-</v>
      </c>
      <c r="G49" s="83" t="str">
        <f ca="1">IFERROR(
  VLOOKUP(A49, '1C'!C:U, 19, 0),)</f>
        <v>25А</v>
      </c>
      <c r="H49" s="81" t="str">
        <f ca="1">IFERROR(
  VLOOKUP(A49, '1C'!C:G, 5, 0),)</f>
        <v>NTBZ11500</v>
      </c>
      <c r="I49" s="90" t="str">
        <f ca="1">IFERROR( VLOOKUP(A49, '1C'!C:I, 7, 0),)</f>
        <v>-</v>
      </c>
      <c r="J49" s="91" t="str">
        <f ca="1">IFERROR(
  VLOOKUP(A49, '1C'!C:H, 6, 0),)</f>
        <v>8536 90 95 00</v>
      </c>
      <c r="K49" s="86"/>
      <c r="L49" s="92"/>
    </row>
    <row r="50" spans="1:12" ht="14.4">
      <c r="A50" s="93" t="str">
        <f ca="1">IFERROR(__xludf.DUMMYFUNCTION("iferror(IFERROR(
HYPERLINK(
  VLOOKUP(
    INDEX(UNIQUE(FLATTEN({'1C'!$W$2:W200,'1C'!$C$2:C200})), ROW(A48)), 
    '1C'!C:O, 12, 0),
  INDEX(UNIQUE(FLATTEN({'1C'!$W$2:W200,'1C'!$C$2:C200})), ROW(A48))),
MATCH(INDEX(UNIQUE(FLATTEN({'1C'!$W$2:W200,'1C'!$C$2"&amp;":C200})), ROW(A48)), L$3:L200, 0)
),)"),"Power limiters")</f>
        <v>Power limiters</v>
      </c>
      <c r="B50" s="108">
        <f ca="1">IFERROR(
  VLOOKUP(A50, '1C'!C:E, 3, 0),)</f>
        <v>0</v>
      </c>
      <c r="C50" s="108">
        <f ca="1">IFERROR(
  VLOOKUP(A50, '1C'!C:Z, 24, 0),)</f>
        <v>0</v>
      </c>
      <c r="D50" s="80">
        <f ca="1">IFERROR(
  VLOOKUP(A50, '1C'!C:K, 9, 0),)</f>
        <v>0</v>
      </c>
      <c r="E50" s="81">
        <f ca="1">IFERROR(
  VLOOKUP(A50, '1C'!C:Q, 15, 0),)</f>
        <v>0</v>
      </c>
      <c r="F50" s="82">
        <f ca="1">IFERROR(
  VLOOKUP(A50, '1C'!C:S, 17, 0),)</f>
        <v>0</v>
      </c>
      <c r="G50" s="83">
        <f ca="1">IFERROR(
  VLOOKUP(A50, '1C'!C:U, 19, 0),)</f>
        <v>0</v>
      </c>
      <c r="H50" s="81">
        <f ca="1">IFERROR(
  VLOOKUP(A50, '1C'!C:G, 5, 0),)</f>
        <v>0</v>
      </c>
      <c r="I50" s="90">
        <f ca="1">IFERROR( VLOOKUP(A50, '1C'!C:I, 7, 0),)</f>
        <v>0</v>
      </c>
      <c r="J50" s="91">
        <f ca="1">IFERROR(
  VLOOKUP(A50, '1C'!C:H, 6, 0),)</f>
        <v>0</v>
      </c>
      <c r="K50" s="86"/>
      <c r="L50" s="92"/>
    </row>
    <row r="51" spans="1:12" ht="14.4">
      <c r="A51" s="93" t="str">
        <f ca="1">IFERROR(__xludf.DUMMYFUNCTION("iferror(IFERROR(
HYPERLINK(
  VLOOKUP(
    INDEX(UNIQUE(FLATTEN({'1C'!$W$2:W200,'1C'!$C$2:C200})), ROW(A49)), 
    '1C'!C:O, 12, 0),
  INDEX(UNIQUE(FLATTEN({'1C'!$W$2:W200,'1C'!$C$2:C200})), ROW(A49))),
MATCH(INDEX(UNIQUE(FLATTEN({'1C'!$W$2:W200,'1C'!$C$2"&amp;":C200})), ROW(A49)), L$3:L200, 0)
),)"),"OM-121")</f>
        <v>OM-121</v>
      </c>
      <c r="B51" s="108">
        <f ca="1">IFERROR(
  VLOOKUP(A51, '1C'!C:E, 3, 0),)</f>
        <v>49</v>
      </c>
      <c r="C51" s="108">
        <f ca="1">IFERROR(
  VLOOKUP(A51, '1C'!C:Z, 24, 0),)</f>
        <v>49</v>
      </c>
      <c r="D51" s="80" t="str">
        <f ca="1">IFERROR(
  VLOOKUP(A51, '1C'!C:K, 9, 0),)</f>
        <v>Single-phase power limiter, ModBus</v>
      </c>
      <c r="E51" s="81" t="str">
        <f ca="1">IFERROR(
  VLOOKUP(A51, '1C'!C:Q, 15, 0),)</f>
        <v>DIN</v>
      </c>
      <c r="F51" s="82">
        <f ca="1">IFERROR(
  VLOOKUP(A51, '1C'!C:S, 17, 0),)</f>
        <v>3</v>
      </c>
      <c r="G51" s="83" t="str">
        <f ca="1">IFERROR(
  VLOOKUP(A51, '1C'!C:U, 19, 0),)</f>
        <v>14kW</v>
      </c>
      <c r="H51" s="81" t="str">
        <f ca="1">IFERROR(
  VLOOKUP(A51, '1C'!C:G, 5, 0),)</f>
        <v>NTOM12100</v>
      </c>
      <c r="I51" s="90">
        <f ca="1">IFERROR( VLOOKUP(A51, '1C'!C:I, 7, 0),)</f>
        <v>0</v>
      </c>
      <c r="J51" s="91" t="str">
        <f ca="1">IFERROR(
  VLOOKUP(A51, '1C'!C:H, 6, 0),)</f>
        <v>8536 49 00 90</v>
      </c>
      <c r="K51" s="86"/>
      <c r="L51" s="92"/>
    </row>
    <row r="52" spans="1:12" ht="14.4">
      <c r="A52" s="88" t="str">
        <f ca="1">IFERROR(__xludf.DUMMYFUNCTION("iferror(IFERROR(
HYPERLINK(
  VLOOKUP(
    INDEX(UNIQUE(FLATTEN({'1C'!$W$2:W200,'1C'!$C$2:C200})), ROW(A50)), 
    '1C'!C:O, 12, 0),
  INDEX(UNIQUE(FLATTEN({'1C'!$W$2:W200,'1C'!$C$2:C200})), ROW(A50))),
MATCH(INDEX(UNIQUE(FLATTEN({'1C'!$W$2:W200,'1C'!$C$2"&amp;":C200})), ROW(A50)), L$3:L200, 0)
),)"),"OM-163")</f>
        <v>OM-163</v>
      </c>
      <c r="B52" s="108">
        <f ca="1">IFERROR(
  VLOOKUP(A52, '1C'!C:E, 3, 0),)</f>
        <v>33</v>
      </c>
      <c r="C52" s="108">
        <f ca="1">IFERROR(
  VLOOKUP(A52, '1C'!C:Z, 24, 0),)</f>
        <v>37</v>
      </c>
      <c r="D52" s="80" t="str">
        <f ca="1">IFERROR(
  VLOOKUP(A52, '1C'!C:K, 9, 0),)</f>
        <v>Single-phase power limiter + voltage relay</v>
      </c>
      <c r="E52" s="81" t="str">
        <f ca="1">IFERROR(
  VLOOKUP(A52, '1C'!C:Q, 15, 0),)</f>
        <v>DIN</v>
      </c>
      <c r="F52" s="82">
        <f ca="1">IFERROR(
  VLOOKUP(A52, '1C'!C:S, 17, 0),)</f>
        <v>3</v>
      </c>
      <c r="G52" s="83" t="str">
        <f ca="1">IFERROR(
  VLOOKUP(A52, '1C'!C:U, 19, 0),)</f>
        <v>63А</v>
      </c>
      <c r="H52" s="81" t="str">
        <f ca="1">IFERROR(
  VLOOKUP(A52, '1C'!C:G, 5, 0),)</f>
        <v>NTOM16300</v>
      </c>
      <c r="I52" s="90">
        <f ca="1">IFERROR( VLOOKUP(A52, '1C'!C:I, 7, 0),)</f>
        <v>0</v>
      </c>
      <c r="J52" s="91" t="str">
        <f ca="1">IFERROR(
  VLOOKUP(A52, '1C'!C:H, 6, 0),)</f>
        <v>8536 49 00 90</v>
      </c>
      <c r="K52" s="86"/>
      <c r="L52" s="92"/>
    </row>
    <row r="53" spans="1:12" ht="14.4">
      <c r="A53" s="88" t="str">
        <f ca="1">IFERROR(__xludf.DUMMYFUNCTION("iferror(IFERROR(
HYPERLINK(
  VLOOKUP(
    INDEX(UNIQUE(FLATTEN({'1C'!$W$2:W200,'1C'!$C$2:C200})), ROW(A51)), 
    '1C'!C:O, 12, 0),
  INDEX(UNIQUE(FLATTEN({'1C'!$W$2:W200,'1C'!$C$2:C200})), ROW(A51))),
MATCH(INDEX(UNIQUE(FLATTEN({'1C'!$W$2:W200,'1C'!$C$2"&amp;":C200})), ROW(A51)), L$3:L200, 0)
),)"),"OM-110")</f>
        <v>OM-110</v>
      </c>
      <c r="B53" s="108">
        <f ca="1">IFERROR(
  VLOOKUP(A53, '1C'!C:E, 3, 0),)</f>
        <v>44</v>
      </c>
      <c r="C53" s="108">
        <f ca="1">IFERROR(
  VLOOKUP(A53, '1C'!C:Z, 24, 0),)</f>
        <v>48</v>
      </c>
      <c r="D53" s="80" t="str">
        <f ca="1">IFERROR(
  VLOOKUP(A53, '1C'!C:K, 9, 0),)</f>
        <v>Single-phase power limiter up to 20 kW, 2 groups of loads</v>
      </c>
      <c r="E53" s="81" t="str">
        <f ca="1">IFERROR(
  VLOOKUP(A53, '1C'!C:Q, 15, 0),)</f>
        <v>DIN</v>
      </c>
      <c r="F53" s="82">
        <f ca="1">IFERROR(
  VLOOKUP(A53, '1C'!C:S, 17, 0),)</f>
        <v>3</v>
      </c>
      <c r="G53" s="83" t="str">
        <f ca="1">IFERROR(
  VLOOKUP(A53, '1C'!C:U, 19, 0),)</f>
        <v>20kW</v>
      </c>
      <c r="H53" s="81" t="str">
        <f ca="1">IFERROR(
  VLOOKUP(A53, '1C'!C:G, 5, 0),)</f>
        <v>NTOM11000</v>
      </c>
      <c r="I53" s="90">
        <f ca="1">IFERROR( VLOOKUP(A53, '1C'!C:I, 7, 0),)</f>
        <v>0</v>
      </c>
      <c r="J53" s="91" t="str">
        <f ca="1">IFERROR(
  VLOOKUP(A53, '1C'!C:H, 6, 0),)</f>
        <v>8536 49 00 90</v>
      </c>
      <c r="K53" s="86"/>
      <c r="L53" s="92"/>
    </row>
    <row r="54" spans="1:12" ht="26.4">
      <c r="A54" s="88" t="str">
        <f ca="1">IFERROR(__xludf.DUMMYFUNCTION("iferror(IFERROR(
HYPERLINK(
  VLOOKUP(
    INDEX(UNIQUE(FLATTEN({'1C'!$W$2:W200,'1C'!$C$2:C200})), ROW(A52)), 
    '1C'!C:O, 12, 0),
  INDEX(UNIQUE(FLATTEN({'1C'!$W$2:W200,'1C'!$C$2:C200})), ROW(A52))),
MATCH(INDEX(UNIQUE(FLATTEN({'1C'!$W$2:W200,'1C'!$C$2"&amp;":C200})), ROW(A52)), L$3:L200, 0)
),)"),"OM-310")</f>
        <v>OM-310</v>
      </c>
      <c r="B54" s="108">
        <f ca="1">IFERROR(
  VLOOKUP(A54, '1C'!C:E, 3, 0),)</f>
        <v>152</v>
      </c>
      <c r="C54" s="108">
        <f ca="1">IFERROR(
  VLOOKUP(A54, '1C'!C:Z, 24, 0),)</f>
        <v>152</v>
      </c>
      <c r="D54" s="80" t="str">
        <f ca="1">IFERROR(
  VLOOKUP(A54, '1C'!C:K, 9, 0),)</f>
        <v>Three-phase power limiter, built-in C /T 2,5-30 kW or external to 315 kW, 2 groups of loads, ModBus, function of parameters monitoring</v>
      </c>
      <c r="E54" s="81" t="str">
        <f ca="1">IFERROR(
  VLOOKUP(A54, '1C'!C:Q, 15, 0),)</f>
        <v>DIN</v>
      </c>
      <c r="F54" s="82">
        <f ca="1">IFERROR(
  VLOOKUP(A54, '1C'!C:S, 17, 0),)</f>
        <v>9</v>
      </c>
      <c r="G54" s="83" t="str">
        <f ca="1">IFERROR(
  VLOOKUP(A54, '1C'!C:U, 19, 0),)</f>
        <v>30kW-450kW</v>
      </c>
      <c r="H54" s="81" t="str">
        <f ca="1">IFERROR(
  VLOOKUP(A54, '1C'!C:G, 5, 0),)</f>
        <v>NTOM31000</v>
      </c>
      <c r="I54" s="90">
        <f ca="1">IFERROR( VLOOKUP(A54, '1C'!C:I, 7, 0),)</f>
        <v>0</v>
      </c>
      <c r="J54" s="91" t="str">
        <f ca="1">IFERROR(
  VLOOKUP(A54, '1C'!C:H, 6, 0),)</f>
        <v>8536 49 00 90</v>
      </c>
      <c r="K54" s="86"/>
      <c r="L54" s="92"/>
    </row>
    <row r="55" spans="1:12" ht="14.4">
      <c r="A55" s="93" t="str">
        <f ca="1">IFERROR(__xludf.DUMMYFUNCTION("iferror(IFERROR(
HYPERLINK(
  VLOOKUP(
    INDEX(UNIQUE(FLATTEN({'1C'!$W$2:W200,'1C'!$C$2:C200})), ROW(A53)), 
    '1C'!C:O, 12, 0),
  INDEX(UNIQUE(FLATTEN({'1C'!$W$2:W200,'1C'!$C$2:C200})), ROW(A53))),
MATCH(INDEX(UNIQUE(FLATTEN({'1C'!$W$2:W200,'1C'!$C$2"&amp;":C200})), ROW(A53)), L$3:L200, 0)
),)"),"Current limiters")</f>
        <v>Current limiters</v>
      </c>
      <c r="B55" s="108">
        <f ca="1">IFERROR(
  VLOOKUP(A55, '1C'!C:E, 3, 0),)</f>
        <v>0</v>
      </c>
      <c r="C55" s="108">
        <f ca="1">IFERROR(
  VLOOKUP(A55, '1C'!C:Z, 24, 0),)</f>
        <v>0</v>
      </c>
      <c r="D55" s="80">
        <f ca="1">IFERROR(
  VLOOKUP(A55, '1C'!C:K, 9, 0),)</f>
        <v>0</v>
      </c>
      <c r="E55" s="81">
        <f ca="1">IFERROR(
  VLOOKUP(A55, '1C'!C:Q, 15, 0),)</f>
        <v>0</v>
      </c>
      <c r="F55" s="82">
        <f ca="1">IFERROR(
  VLOOKUP(A55, '1C'!C:S, 17, 0),)</f>
        <v>0</v>
      </c>
      <c r="G55" s="83">
        <f ca="1">IFERROR(
  VLOOKUP(A55, '1C'!C:U, 19, 0),)</f>
        <v>0</v>
      </c>
      <c r="H55" s="81">
        <f ca="1">IFERROR(
  VLOOKUP(A55, '1C'!C:G, 5, 0),)</f>
        <v>0</v>
      </c>
      <c r="I55" s="90">
        <f ca="1">IFERROR( VLOOKUP(A55, '1C'!C:I, 7, 0),)</f>
        <v>0</v>
      </c>
      <c r="J55" s="91">
        <f ca="1">IFERROR(
  VLOOKUP(A55, '1C'!C:H, 6, 0),)</f>
        <v>0</v>
      </c>
      <c r="K55" s="86"/>
      <c r="L55" s="92"/>
    </row>
    <row r="56" spans="1:12" ht="14.4">
      <c r="A56" s="88" t="str">
        <f ca="1">IFERROR(__xludf.DUMMYFUNCTION("iferror(IFERROR(
HYPERLINK(
  VLOOKUP(
    INDEX(UNIQUE(FLATTEN({'1C'!$W$2:W200,'1C'!$C$2:C200})), ROW(A54)), 
    '1C'!C:O, 12, 0),
  INDEX(UNIQUE(FLATTEN({'1C'!$W$2:W200,'1C'!$C$2:C200})), ROW(A54))),
MATCH(INDEX(UNIQUE(FLATTEN({'1C'!$W$2:W200,'1C'!$C$2"&amp;":C200})), ROW(A54)), L$3:L200, 0)
),)"),"RMT-101")</f>
        <v>RMT-101</v>
      </c>
      <c r="B56" s="108">
        <f ca="1">IFERROR(
  VLOOKUP(A56, '1C'!C:E, 3, 0),)</f>
        <v>49</v>
      </c>
      <c r="C56" s="108">
        <f ca="1">IFERROR(
  VLOOKUP(A56, '1C'!C:Z, 24, 0),)</f>
        <v>55</v>
      </c>
      <c r="D56" s="80" t="str">
        <f ca="1">IFERROR(
  VLOOKUP(A56, '1C'!C:K, 9, 0),)</f>
        <v>Single-phase current overload relay</v>
      </c>
      <c r="E56" s="81" t="str">
        <f ca="1">IFERROR(
  VLOOKUP(A56, '1C'!C:Q, 15, 0),)</f>
        <v>DIN</v>
      </c>
      <c r="F56" s="82">
        <f ca="1">IFERROR(
  VLOOKUP(A56, '1C'!C:S, 17, 0),)</f>
        <v>3</v>
      </c>
      <c r="G56" s="83" t="str">
        <f ca="1">IFERROR(
  VLOOKUP(A56, '1C'!C:U, 19, 0),)</f>
        <v>100А, Contactor</v>
      </c>
      <c r="H56" s="81" t="str">
        <f ca="1">IFERROR(
  VLOOKUP(A56, '1C'!C:G, 5, 0),)</f>
        <v>NTRMT1010</v>
      </c>
      <c r="I56" s="90">
        <f ca="1">IFERROR( VLOOKUP(A56, '1C'!C:I, 7, 0),)</f>
        <v>4820122950511</v>
      </c>
      <c r="J56" s="91" t="str">
        <f ca="1">IFERROR(
  VLOOKUP(A56, '1C'!C:H, 6, 0),)</f>
        <v>8536 49 00 90</v>
      </c>
      <c r="K56" s="86"/>
      <c r="L56" s="92"/>
    </row>
    <row r="57" spans="1:12" ht="14.4">
      <c r="A57" s="88" t="str">
        <f ca="1">IFERROR(__xludf.DUMMYFUNCTION("iferror(IFERROR(
HYPERLINK(
  VLOOKUP(
    INDEX(UNIQUE(FLATTEN({'1C'!$W$2:W200,'1C'!$C$2:C200})), ROW(A55)), 
    '1C'!C:O, 12, 0),
  INDEX(UNIQUE(FLATTEN({'1C'!$W$2:W200,'1C'!$C$2:C200})), ROW(A55))),
MATCH(INDEX(UNIQUE(FLATTEN({'1C'!$W$2:W200,'1C'!$C$2"&amp;":C200})), ROW(A55)), L$3:L200, 0)
),)"),"RMT-104")</f>
        <v>RMT-104</v>
      </c>
      <c r="B57" s="108">
        <f ca="1">IFERROR(
  VLOOKUP(A57, '1C'!C:E, 3, 0),)</f>
        <v>60</v>
      </c>
      <c r="C57" s="108">
        <f ca="1">IFERROR(
  VLOOKUP(A57, '1C'!C:Z, 24, 0),)</f>
        <v>67</v>
      </c>
      <c r="D57" s="80" t="str">
        <f ca="1">IFERROR(
  VLOOKUP(A57, '1C'!C:K, 9, 0),)</f>
        <v>Single-phase current overload relay</v>
      </c>
      <c r="E57" s="81" t="str">
        <f ca="1">IFERROR(
  VLOOKUP(A57, '1C'!C:Q, 15, 0),)</f>
        <v>Wall</v>
      </c>
      <c r="F57" s="82" t="str">
        <f ca="1">IFERROR(
  VLOOKUP(A57, '1C'!C:S, 17, 0),)</f>
        <v>-</v>
      </c>
      <c r="G57" s="83" t="str">
        <f ca="1">IFERROR(
  VLOOKUP(A57, '1C'!C:U, 19, 0),)</f>
        <v>400А, Contactor</v>
      </c>
      <c r="H57" s="81" t="str">
        <f ca="1">IFERROR(
  VLOOKUP(A57, '1C'!C:G, 5, 0),)</f>
        <v>NTRMT1040</v>
      </c>
      <c r="I57" s="90">
        <f ca="1">IFERROR( VLOOKUP(A57, '1C'!C:I, 7, 0),)</f>
        <v>0</v>
      </c>
      <c r="J57" s="91" t="str">
        <f ca="1">IFERROR(
  VLOOKUP(A57, '1C'!C:H, 6, 0),)</f>
        <v>8536 49 00 90</v>
      </c>
      <c r="K57" s="86"/>
      <c r="L57" s="92"/>
    </row>
    <row r="58" spans="1:12" ht="14.4">
      <c r="A58" s="93" t="str">
        <f ca="1">IFERROR(__xludf.DUMMYFUNCTION("iferror(IFERROR(
HYPERLINK(
  VLOOKUP(
    INDEX(UNIQUE(FLATTEN({'1C'!$W$2:W200,'1C'!$C$2:C200})), ROW(A56)), 
    '1C'!C:O, 12, 0),
  INDEX(UNIQUE(FLATTEN({'1C'!$W$2:W200,'1C'!$C$2:C200})), ROW(A56))),
MATCH(INDEX(UNIQUE(FLATTEN({'1C'!$W$2:W200,'1C'!$C$2"&amp;":C200})), ROW(A56)), L$3:L200, 0)
),)"),"Temperature controllers")</f>
        <v>Temperature controllers</v>
      </c>
      <c r="B58" s="108">
        <f ca="1">IFERROR(
  VLOOKUP(A58, '1C'!C:E, 3, 0),)</f>
        <v>0</v>
      </c>
      <c r="C58" s="108">
        <f ca="1">IFERROR(
  VLOOKUP(A58, '1C'!C:Z, 24, 0),)</f>
        <v>0</v>
      </c>
      <c r="D58" s="80">
        <f ca="1">IFERROR(
  VLOOKUP(A58, '1C'!C:K, 9, 0),)</f>
        <v>0</v>
      </c>
      <c r="E58" s="81">
        <f ca="1">IFERROR(
  VLOOKUP(A58, '1C'!C:Q, 15, 0),)</f>
        <v>0</v>
      </c>
      <c r="F58" s="82">
        <f ca="1">IFERROR(
  VLOOKUP(A58, '1C'!C:S, 17, 0),)</f>
        <v>0</v>
      </c>
      <c r="G58" s="83">
        <f ca="1">IFERROR(
  VLOOKUP(A58, '1C'!C:U, 19, 0),)</f>
        <v>0</v>
      </c>
      <c r="H58" s="81">
        <f ca="1">IFERROR(
  VLOOKUP(A58, '1C'!C:G, 5, 0),)</f>
        <v>0</v>
      </c>
      <c r="I58" s="90">
        <f ca="1">IFERROR( VLOOKUP(A58, '1C'!C:I, 7, 0),)</f>
        <v>0</v>
      </c>
      <c r="J58" s="91">
        <f ca="1">IFERROR(
  VLOOKUP(A58, '1C'!C:H, 6, 0),)</f>
        <v>0</v>
      </c>
      <c r="K58" s="86"/>
      <c r="L58" s="92"/>
    </row>
    <row r="59" spans="1:12" ht="14.4">
      <c r="A59" s="88" t="str">
        <f ca="1">IFERROR(__xludf.DUMMYFUNCTION("iferror(IFERROR(
HYPERLINK(
  VLOOKUP(
    INDEX(UNIQUE(FLATTEN({'1C'!$W$2:W200,'1C'!$C$2:C200})), ROW(A57)), 
    '1C'!C:O, 12, 0),
  INDEX(UNIQUE(FLATTEN({'1C'!$W$2:W200,'1C'!$C$2:C200})), ROW(A57))),
MATCH(INDEX(UNIQUE(FLATTEN({'1C'!$W$2:W200,'1C'!$C$2"&amp;":C200})), ROW(A57)), L$3:L200, 0)
),)"),"MCK-102-14")</f>
        <v>MCK-102-14</v>
      </c>
      <c r="B59" s="108">
        <f ca="1">IFERROR(
  VLOOKUP(A59, '1C'!C:E, 3, 0),)</f>
        <v>24</v>
      </c>
      <c r="C59" s="108">
        <f ca="1">IFERROR(
  VLOOKUP(A59, '1C'!C:Z, 24, 0),)</f>
        <v>24</v>
      </c>
      <c r="D59" s="80" t="str">
        <f ca="1">IFERROR(
  VLOOKUP(A59, '1C'!C:K, 9, 0),)</f>
        <v>Control of freezers, refrigerated counters, panel version</v>
      </c>
      <c r="E59" s="81" t="str">
        <f ca="1">IFERROR(
  VLOOKUP(A59, '1C'!C:Q, 15, 0),)</f>
        <v>Panel</v>
      </c>
      <c r="F59" s="82" t="str">
        <f ca="1">IFERROR(
  VLOOKUP(A59, '1C'!C:S, 17, 0),)</f>
        <v>-</v>
      </c>
      <c r="G59" s="83" t="str">
        <f ca="1">IFERROR(
  VLOOKUP(A59, '1C'!C:U, 19, 0),)</f>
        <v>-</v>
      </c>
      <c r="H59" s="81" t="str">
        <f ca="1">IFERROR(
  VLOOKUP(A59, '1C'!C:G, 5, 0),)</f>
        <v>NTMK10214</v>
      </c>
      <c r="I59" s="90">
        <f ca="1">IFERROR( VLOOKUP(A59, '1C'!C:I, 7, 0),)</f>
        <v>0</v>
      </c>
      <c r="J59" s="91" t="str">
        <f ca="1">IFERROR(
  VLOOKUP(A59, '1C'!C:H, 6, 0),)</f>
        <v>9032 89 00 00</v>
      </c>
      <c r="K59" s="86"/>
      <c r="L59" s="92"/>
    </row>
    <row r="60" spans="1:12" ht="14.4">
      <c r="A60" s="88" t="str">
        <f ca="1">IFERROR(__xludf.DUMMYFUNCTION("iferror(IFERROR(
HYPERLINK(
  VLOOKUP(
    INDEX(UNIQUE(FLATTEN({'1C'!$W$2:W200,'1C'!$C$2:C200})), ROW(A58)), 
    '1C'!C:O, 12, 0),
  INDEX(UNIQUE(FLATTEN({'1C'!$W$2:W200,'1C'!$C$2:C200})), ROW(A58))),
MATCH(INDEX(UNIQUE(FLATTEN({'1C'!$W$2:W200,'1C'!$C$2"&amp;":C200})), ROW(A58)), L$3:L200, 0)
),)"),"MCK-102-20")</f>
        <v>MCK-102-20</v>
      </c>
      <c r="B60" s="108">
        <f ca="1">IFERROR(
  VLOOKUP(A60, '1C'!C:E, 3, 0),)</f>
        <v>29</v>
      </c>
      <c r="C60" s="108">
        <f ca="1">IFERROR(
  VLOOKUP(A60, '1C'!C:Z, 24, 0),)</f>
        <v>29</v>
      </c>
      <c r="D60" s="80" t="str">
        <f ca="1">IFERROR(
  VLOOKUP(A60, '1C'!C:K, 9, 0),)</f>
        <v>Control of freezers, refrigerated counters, panel version</v>
      </c>
      <c r="E60" s="81" t="str">
        <f ca="1">IFERROR(
  VLOOKUP(A60, '1C'!C:Q, 15, 0),)</f>
        <v>Panel</v>
      </c>
      <c r="F60" s="82" t="str">
        <f ca="1">IFERROR(
  VLOOKUP(A60, '1C'!C:S, 17, 0),)</f>
        <v>-</v>
      </c>
      <c r="G60" s="83" t="str">
        <f ca="1">IFERROR(
  VLOOKUP(A60, '1C'!C:U, 19, 0),)</f>
        <v>-</v>
      </c>
      <c r="H60" s="81" t="str">
        <f ca="1">IFERROR(
  VLOOKUP(A60, '1C'!C:G, 5, 0),)</f>
        <v>NTMK10220</v>
      </c>
      <c r="I60" s="90">
        <f ca="1">IFERROR( VLOOKUP(A60, '1C'!C:I, 7, 0),)</f>
        <v>0</v>
      </c>
      <c r="J60" s="91" t="str">
        <f ca="1">IFERROR(
  VLOOKUP(A60, '1C'!C:H, 6, 0),)</f>
        <v>9032 89 00 00</v>
      </c>
      <c r="K60" s="86"/>
      <c r="L60" s="92"/>
    </row>
    <row r="61" spans="1:12" ht="14.4">
      <c r="A61" s="88" t="str">
        <f ca="1">IFERROR(__xludf.DUMMYFUNCTION("iferror(IFERROR(
HYPERLINK(
  VLOOKUP(
    INDEX(UNIQUE(FLATTEN({'1C'!$W$2:W200,'1C'!$C$2:C200})), ROW(A59)), 
    '1C'!C:O, 12, 0),
  INDEX(UNIQUE(FLATTEN({'1C'!$W$2:W200,'1C'!$C$2:C200})), ROW(A59))),
MATCH(INDEX(UNIQUE(FLATTEN({'1C'!$W$2:W200,'1C'!$C$2"&amp;":C200})), ROW(A59)), L$3:L200, 0)
),)"),"MCK-301-52")</f>
        <v>MCK-301-52</v>
      </c>
      <c r="B61" s="108">
        <f ca="1">IFERROR(
  VLOOKUP(A61, '1C'!C:E, 3, 0),)</f>
        <v>39</v>
      </c>
      <c r="C61" s="108">
        <f ca="1">IFERROR(
  VLOOKUP(A61, '1C'!C:Z, 24, 0),)</f>
        <v>39</v>
      </c>
      <c r="D61" s="80" t="str">
        <f ca="1">IFERROR(
  VLOOKUP(A61, '1C'!C:K, 9, 0),)</f>
        <v xml:space="preserve">Fruit storage and ripening in a special chamber control process </v>
      </c>
      <c r="E61" s="81" t="str">
        <f ca="1">IFERROR(
  VLOOKUP(A61, '1C'!C:Q, 15, 0),)</f>
        <v>DIN</v>
      </c>
      <c r="F61" s="82">
        <f ca="1">IFERROR(
  VLOOKUP(A61, '1C'!C:S, 17, 0),)</f>
        <v>4</v>
      </c>
      <c r="G61" s="83" t="str">
        <f ca="1">IFERROR(
  VLOOKUP(A61, '1C'!C:U, 19, 0),)</f>
        <v>-</v>
      </c>
      <c r="H61" s="81" t="str">
        <f ca="1">IFERROR(
  VLOOKUP(A61, '1C'!C:G, 5, 0),)</f>
        <v>NTMK30152</v>
      </c>
      <c r="I61" s="90">
        <f ca="1">IFERROR( VLOOKUP(A61, '1C'!C:I, 7, 0),)</f>
        <v>0</v>
      </c>
      <c r="J61" s="91" t="str">
        <f ca="1">IFERROR(
  VLOOKUP(A61, '1C'!C:H, 6, 0),)</f>
        <v>9032 89 00 00</v>
      </c>
      <c r="K61" s="86"/>
      <c r="L61" s="92"/>
    </row>
    <row r="62" spans="1:12" ht="14.4">
      <c r="A62" s="88" t="str">
        <f ca="1">IFERROR(__xludf.DUMMYFUNCTION("iferror(IFERROR(
HYPERLINK(
  VLOOKUP(
    INDEX(UNIQUE(FLATTEN({'1C'!$W$2:W200,'1C'!$C$2:C200})), ROW(A60)), 
    '1C'!C:O, 12, 0),
  INDEX(UNIQUE(FLATTEN({'1C'!$W$2:W200,'1C'!$C$2:C200})), ROW(A60))),
MATCH(INDEX(UNIQUE(FLATTEN({'1C'!$W$2:W200,'1C'!$C$2"&amp;":C200})), ROW(A60)), L$3:L200, 0)
),)"),"MCK-301-61")</f>
        <v>MCK-301-61</v>
      </c>
      <c r="B62" s="108">
        <f ca="1">IFERROR(
  VLOOKUP(A62, '1C'!C:E, 3, 0),)</f>
        <v>43</v>
      </c>
      <c r="C62" s="108">
        <f ca="1">IFERROR(
  VLOOKUP(A62, '1C'!C:Z, 24, 0),)</f>
        <v>43</v>
      </c>
      <c r="D62" s="80" t="str">
        <f ca="1">IFERROR(
  VLOOKUP(A62, '1C'!C:K, 9, 0),)</f>
        <v>For controlling indoor air conditioners</v>
      </c>
      <c r="E62" s="81" t="str">
        <f ca="1">IFERROR(
  VLOOKUP(A62, '1C'!C:Q, 15, 0),)</f>
        <v>DIN</v>
      </c>
      <c r="F62" s="82">
        <f ca="1">IFERROR(
  VLOOKUP(A62, '1C'!C:S, 17, 0),)</f>
        <v>4</v>
      </c>
      <c r="G62" s="83" t="str">
        <f ca="1">IFERROR(
  VLOOKUP(A62, '1C'!C:U, 19, 0),)</f>
        <v>-</v>
      </c>
      <c r="H62" s="81" t="str">
        <f ca="1">IFERROR(
  VLOOKUP(A62, '1C'!C:G, 5, 0),)</f>
        <v>NTMK30161</v>
      </c>
      <c r="I62" s="90">
        <f ca="1">IFERROR( VLOOKUP(A62, '1C'!C:I, 7, 0),)</f>
        <v>0</v>
      </c>
      <c r="J62" s="91" t="str">
        <f ca="1">IFERROR(
  VLOOKUP(A62, '1C'!C:H, 6, 0),)</f>
        <v>9032 89 00 00</v>
      </c>
      <c r="K62" s="86"/>
      <c r="L62" s="92"/>
    </row>
    <row r="63" spans="1:12" ht="14.4">
      <c r="A63" s="93" t="str">
        <f ca="1">IFERROR(__xludf.DUMMYFUNCTION("iferror(IFERROR(
HYPERLINK(
  VLOOKUP(
    INDEX(UNIQUE(FLATTEN({'1C'!$W$2:W200,'1C'!$C$2:C200})), ROW(A61)), 
    '1C'!C:O, 12, 0),
  INDEX(UNIQUE(FLATTEN({'1C'!$W$2:W200,'1C'!$C$2:C200})), ROW(A61))),
MATCH(INDEX(UNIQUE(FLATTEN({'1C'!$W$2:W200,'1C'!$C$2"&amp;":C200})), ROW(A61)), L$3:L200, 0)
),)"),"MCK-301-87")</f>
        <v>MCK-301-87</v>
      </c>
      <c r="B63" s="108">
        <f ca="1">IFERROR(
  VLOOKUP(A63, '1C'!C:E, 3, 0),)</f>
        <v>44</v>
      </c>
      <c r="C63" s="108">
        <f ca="1">IFERROR(
  VLOOKUP(A63, '1C'!C:Z, 24, 0),)</f>
        <v>44</v>
      </c>
      <c r="D63" s="80" t="str">
        <f ca="1">IFERROR(
  VLOOKUP(A63, '1C'!C:K, 9, 0),)</f>
        <v>Temperature controller for freezers and counters</v>
      </c>
      <c r="E63" s="81" t="str">
        <f ca="1">IFERROR(
  VLOOKUP(A63, '1C'!C:Q, 15, 0),)</f>
        <v>DIN</v>
      </c>
      <c r="F63" s="82">
        <f ca="1">IFERROR(
  VLOOKUP(A63, '1C'!C:S, 17, 0),)</f>
        <v>4</v>
      </c>
      <c r="G63" s="83" t="str">
        <f ca="1">IFERROR(
  VLOOKUP(A63, '1C'!C:U, 19, 0),)</f>
        <v>-</v>
      </c>
      <c r="H63" s="81" t="str">
        <f ca="1">IFERROR(
  VLOOKUP(A63, '1C'!C:G, 5, 0),)</f>
        <v>NTMK30183</v>
      </c>
      <c r="I63" s="90">
        <f ca="1">IFERROR( VLOOKUP(A63, '1C'!C:I, 7, 0),)</f>
        <v>0</v>
      </c>
      <c r="J63" s="91" t="str">
        <f ca="1">IFERROR(
  VLOOKUP(A63, '1C'!C:H, 6, 0),)</f>
        <v>9032 89 00 00</v>
      </c>
      <c r="K63" s="86"/>
      <c r="L63" s="92"/>
    </row>
    <row r="64" spans="1:12" ht="14.4">
      <c r="A64" s="88" t="str">
        <f ca="1">IFERROR(__xludf.DUMMYFUNCTION("iferror(IFERROR(
HYPERLINK(
  VLOOKUP(
    INDEX(UNIQUE(FLATTEN({'1C'!$W$2:W200,'1C'!$C$2:C200})), ROW(A62)), 
    '1C'!C:O, 12, 0),
  INDEX(UNIQUE(FLATTEN({'1C'!$W$2:W200,'1C'!$C$2:C200})), ROW(A62))),
MATCH(INDEX(UNIQUE(FLATTEN({'1C'!$W$2:W200,'1C'!$C$2"&amp;":C200})), ROW(A62)), L$3:L200, 0)
),)"),"TR-12-1")</f>
        <v>TR-12-1</v>
      </c>
      <c r="B64" s="108">
        <f ca="1">IFERROR(
  VLOOKUP(A64, '1C'!C:E, 3, 0),)</f>
        <v>21</v>
      </c>
      <c r="C64" s="108">
        <f ca="1">IFERROR(
  VLOOKUP(A64, '1C'!C:Z, 24, 0),)</f>
        <v>21</v>
      </c>
      <c r="D64" s="80" t="str">
        <f ca="1">IFERROR(
  VLOOKUP(A64, '1C'!C:K, 9, 0),)</f>
        <v>Socket temperature regulator with the voltage relay built-in, sensor is from the bottom side of device, 10 cm</v>
      </c>
      <c r="E64" s="81" t="str">
        <f ca="1">IFERROR(
  VLOOKUP(A64, '1C'!C:Q, 15, 0),)</f>
        <v>Socket</v>
      </c>
      <c r="F64" s="82" t="str">
        <f ca="1">IFERROR(
  VLOOKUP(A64, '1C'!C:S, 17, 0),)</f>
        <v>-</v>
      </c>
      <c r="G64" s="83" t="str">
        <f ca="1">IFERROR(
  VLOOKUP(A64, '1C'!C:U, 19, 0),)</f>
        <v>16А</v>
      </c>
      <c r="H64" s="81" t="str">
        <f ca="1">IFERROR(
  VLOOKUP(A64, '1C'!C:G, 5, 0),)</f>
        <v>NTTR12001</v>
      </c>
      <c r="I64" s="90">
        <f ca="1">IFERROR( VLOOKUP(A64, '1C'!C:I, 7, 0),)</f>
        <v>4820122950238</v>
      </c>
      <c r="J64" s="91" t="str">
        <f ca="1">IFERROR(
  VLOOKUP(A64, '1C'!C:H, 6, 0),)</f>
        <v>9032 89 00 00</v>
      </c>
      <c r="K64" s="86"/>
      <c r="L64" s="92"/>
    </row>
    <row r="65" spans="1:12" ht="14.4">
      <c r="A65" s="88" t="str">
        <f ca="1">IFERROR(__xludf.DUMMYFUNCTION("iferror(IFERROR(
HYPERLINK(
  VLOOKUP(
    INDEX(UNIQUE(FLATTEN({'1C'!$W$2:W200,'1C'!$C$2:C200})), ROW(A63)), 
    '1C'!C:O, 12, 0),
  INDEX(UNIQUE(FLATTEN({'1C'!$W$2:W200,'1C'!$C$2:C200})), ROW(A63))),
MATCH(INDEX(UNIQUE(FLATTEN({'1C'!$W$2:W200,'1C'!$C$2"&amp;":C200})), ROW(A63)), L$3:L200, 0)
),)"),"TR-12-2")</f>
        <v>TR-12-2</v>
      </c>
      <c r="B65" s="108">
        <f ca="1">IFERROR(
  VLOOKUP(A65, '1C'!C:E, 3, 0),)</f>
        <v>21</v>
      </c>
      <c r="C65" s="108">
        <f ca="1">IFERROR(
  VLOOKUP(A65, '1C'!C:Z, 24, 0),)</f>
        <v>21</v>
      </c>
      <c r="D65" s="80" t="str">
        <f ca="1">IFERROR(
  VLOOKUP(A65, '1C'!C:K, 9, 0),)</f>
        <v>Socket temperature regulator with the voltage relay built-in, sensor at the bottom, 1,8 m</v>
      </c>
      <c r="E65" s="81" t="str">
        <f ca="1">IFERROR(
  VLOOKUP(A65, '1C'!C:Q, 15, 0),)</f>
        <v>Socket</v>
      </c>
      <c r="F65" s="82" t="str">
        <f ca="1">IFERROR(
  VLOOKUP(A65, '1C'!C:S, 17, 0),)</f>
        <v>-</v>
      </c>
      <c r="G65" s="83" t="str">
        <f ca="1">IFERROR(
  VLOOKUP(A65, '1C'!C:U, 19, 0),)</f>
        <v>16А</v>
      </c>
      <c r="H65" s="81" t="str">
        <f ca="1">IFERROR(
  VLOOKUP(A65, '1C'!C:G, 5, 0),)</f>
        <v>NTTR12002</v>
      </c>
      <c r="I65" s="90">
        <f ca="1">IFERROR( VLOOKUP(A65, '1C'!C:I, 7, 0),)</f>
        <v>4820122950245</v>
      </c>
      <c r="J65" s="91" t="str">
        <f ca="1">IFERROR(
  VLOOKUP(A65, '1C'!C:H, 6, 0),)</f>
        <v>9032 89 00 00</v>
      </c>
      <c r="K65" s="86"/>
      <c r="L65" s="92"/>
    </row>
    <row r="66" spans="1:12" ht="14.4">
      <c r="A66" s="88" t="str">
        <f ca="1">IFERROR(__xludf.DUMMYFUNCTION("iferror(IFERROR(
HYPERLINK(
  VLOOKUP(
    INDEX(UNIQUE(FLATTEN({'1C'!$W$2:W200,'1C'!$C$2:C200})), ROW(A64)), 
    '1C'!C:O, 12, 0),
  INDEX(UNIQUE(FLATTEN({'1C'!$W$2:W200,'1C'!$C$2:C200})), ROW(A64))),
MATCH(INDEX(UNIQUE(FLATTEN({'1C'!$W$2:W200,'1C'!$C$2"&amp;":C200})), ROW(A64)), L$3:L200, 0)
),)"),"TR-12-3")</f>
        <v>TR-12-3</v>
      </c>
      <c r="B66" s="108">
        <f ca="1">IFERROR(
  VLOOKUP(A66, '1C'!C:E, 3, 0),)</f>
        <v>21</v>
      </c>
      <c r="C66" s="108">
        <f ca="1">IFERROR(
  VLOOKUP(A66, '1C'!C:Z, 24, 0),)</f>
        <v>21</v>
      </c>
      <c r="D66" s="80" t="str">
        <f ca="1">IFERROR(
  VLOOKUP(A66, '1C'!C:K, 9, 0),)</f>
        <v>Socket temperature regulator with the voltage relay built-in, sensor at the top, 10 cm</v>
      </c>
      <c r="E66" s="81" t="str">
        <f ca="1">IFERROR(
  VLOOKUP(A66, '1C'!C:Q, 15, 0),)</f>
        <v>Socket</v>
      </c>
      <c r="F66" s="82" t="str">
        <f ca="1">IFERROR(
  VLOOKUP(A66, '1C'!C:S, 17, 0),)</f>
        <v>-</v>
      </c>
      <c r="G66" s="83" t="str">
        <f ca="1">IFERROR(
  VLOOKUP(A66, '1C'!C:U, 19, 0),)</f>
        <v>16А</v>
      </c>
      <c r="H66" s="81" t="str">
        <f ca="1">IFERROR(
  VLOOKUP(A66, '1C'!C:G, 5, 0),)</f>
        <v>NTTR12003</v>
      </c>
      <c r="I66" s="90">
        <f ca="1">IFERROR( VLOOKUP(A66, '1C'!C:I, 7, 0),)</f>
        <v>4820122950252</v>
      </c>
      <c r="J66" s="91" t="str">
        <f ca="1">IFERROR(
  VLOOKUP(A66, '1C'!C:H, 6, 0),)</f>
        <v>9032 89 00 00</v>
      </c>
      <c r="K66" s="86"/>
      <c r="L66" s="92"/>
    </row>
    <row r="67" spans="1:12" ht="14.4">
      <c r="A67" s="88" t="str">
        <f ca="1">IFERROR(__xludf.DUMMYFUNCTION("iferror(IFERROR(
HYPERLINK(
  VLOOKUP(
    INDEX(UNIQUE(FLATTEN({'1C'!$W$2:W200,'1C'!$C$2:C200})), ROW(A65)), 
    '1C'!C:O, 12, 0),
  INDEX(UNIQUE(FLATTEN({'1C'!$W$2:W200,'1C'!$C$2:C200})), ROW(A65))),
MATCH(INDEX(UNIQUE(FLATTEN({'1C'!$W$2:W200,'1C'!$C$2"&amp;":C200})), ROW(A65)), L$3:L200, 0)
),)"),"TR-101")</f>
        <v>TR-101</v>
      </c>
      <c r="B67" s="108">
        <f ca="1">IFERROR(
  VLOOKUP(A67, '1C'!C:E, 3, 0),)</f>
        <v>102</v>
      </c>
      <c r="C67" s="108">
        <f ca="1">IFERROR(
  VLOOKUP(A67, '1C'!C:Z, 24, 0),)</f>
        <v>102</v>
      </c>
      <c r="D67" s="80" t="str">
        <f ca="1">IFERROR(
  VLOOKUP(A67, '1C'!C:K, 9, 0),)</f>
        <v>Temperature relay, 4 independent channels, heating / cooling modes, indication</v>
      </c>
      <c r="E67" s="81" t="str">
        <f ca="1">IFERROR(
  VLOOKUP(A67, '1C'!C:Q, 15, 0),)</f>
        <v>DIN</v>
      </c>
      <c r="F67" s="82">
        <f ca="1">IFERROR(
  VLOOKUP(A67, '1C'!C:S, 17, 0),)</f>
        <v>8</v>
      </c>
      <c r="G67" s="83" t="str">
        <f ca="1">IFERROR(
  VLOOKUP(A67, '1C'!C:U, 19, 0),)</f>
        <v>10А</v>
      </c>
      <c r="H67" s="81" t="str">
        <f ca="1">IFERROR(
  VLOOKUP(A67, '1C'!C:G, 5, 0),)</f>
        <v>NTTR10100</v>
      </c>
      <c r="I67" s="90">
        <f ca="1">IFERROR( VLOOKUP(A67, '1C'!C:I, 7, 0),)</f>
        <v>0</v>
      </c>
      <c r="J67" s="91" t="str">
        <f ca="1">IFERROR(
  VLOOKUP(A67, '1C'!C:H, 6, 0),)</f>
        <v>9025 19 20 90</v>
      </c>
      <c r="K67" s="86"/>
      <c r="L67" s="92"/>
    </row>
    <row r="68" spans="1:12" ht="14.4">
      <c r="A68" s="88" t="str">
        <f ca="1">IFERROR(__xludf.DUMMYFUNCTION("iferror(IFERROR(
HYPERLINK(
  VLOOKUP(
    INDEX(UNIQUE(FLATTEN({'1C'!$W$2:W200,'1C'!$C$2:C200})), ROW(A66)), 
    '1C'!C:O, 12, 0),
  INDEX(UNIQUE(FLATTEN({'1C'!$W$2:W200,'1C'!$C$2:C200})), ROW(A66))),
MATCH(INDEX(UNIQUE(FLATTEN({'1C'!$W$2:W200,'1C'!$C$2"&amp;":C200})), ROW(A66)), L$3:L200, 0)
),)"),"TR-102")</f>
        <v>TR-102</v>
      </c>
      <c r="B68" s="108">
        <f ca="1">IFERROR(
  VLOOKUP(A68, '1C'!C:E, 3, 0),)</f>
        <v>98</v>
      </c>
      <c r="C68" s="108">
        <f ca="1">IFERROR(
  VLOOKUP(A68, '1C'!C:Z, 24, 0),)</f>
        <v>98</v>
      </c>
      <c r="D68" s="80" t="str">
        <f ca="1">IFERROR(
  VLOOKUP(A68, '1C'!C:K, 9, 0),)</f>
        <v>Heating control unit, 4 zones, control by means of the bimetallic sensor</v>
      </c>
      <c r="E68" s="81" t="str">
        <f ca="1">IFERROR(
  VLOOKUP(A68, '1C'!C:Q, 15, 0),)</f>
        <v>DIN</v>
      </c>
      <c r="F68" s="82">
        <f ca="1">IFERROR(
  VLOOKUP(A68, '1C'!C:S, 17, 0),)</f>
        <v>8</v>
      </c>
      <c r="G68" s="83" t="str">
        <f ca="1">IFERROR(
  VLOOKUP(A68, '1C'!C:U, 19, 0),)</f>
        <v>10А</v>
      </c>
      <c r="H68" s="81" t="str">
        <f ca="1">IFERROR(
  VLOOKUP(A68, '1C'!C:G, 5, 0),)</f>
        <v>NTTR10200</v>
      </c>
      <c r="I68" s="90">
        <f ca="1">IFERROR( VLOOKUP(A68, '1C'!C:I, 7, 0),)</f>
        <v>0</v>
      </c>
      <c r="J68" s="91" t="str">
        <f ca="1">IFERROR(
  VLOOKUP(A68, '1C'!C:H, 6, 0),)</f>
        <v>9025 19 20 90</v>
      </c>
      <c r="K68" s="86"/>
      <c r="L68" s="92"/>
    </row>
    <row r="69" spans="1:12" ht="14.4">
      <c r="A69" s="93" t="str">
        <f ca="1">IFERROR(__xludf.DUMMYFUNCTION("iferror(IFERROR(
HYPERLINK(
  VLOOKUP(
    INDEX(UNIQUE(FLATTEN({'1C'!$W$2:W200,'1C'!$C$2:C200})), ROW(A67)), 
    '1C'!C:O, 12, 0),
  INDEX(UNIQUE(FLATTEN({'1C'!$W$2:W200,'1C'!$C$2:C200})), ROW(A67))),
MATCH(INDEX(UNIQUE(FLATTEN({'1C'!$W$2:W200,'1C'!$C$2"&amp;":C200})), ROW(A67)), L$3:L200, 0)
),)"),"TR-103")</f>
        <v>TR-103</v>
      </c>
      <c r="B69" s="108" t="str">
        <f ca="1">IFERROR(
  VLOOKUP(A69, '1C'!C:E, 3, 0),)</f>
        <v>on order</v>
      </c>
      <c r="C69" s="108" t="str">
        <f ca="1">IFERROR(
  VLOOKUP(A69, '1C'!C:Z, 24, 0),)</f>
        <v>on order</v>
      </c>
      <c r="D69" s="80" t="str">
        <f ca="1">IFERROR(
  VLOOKUP(A69, '1C'!C:K, 9, 0),)</f>
        <v>Protection unit for dry transformers, 2 channels</v>
      </c>
      <c r="E69" s="81" t="str">
        <f ca="1">IFERROR(
  VLOOKUP(A69, '1C'!C:Q, 15, 0),)</f>
        <v>DIN</v>
      </c>
      <c r="F69" s="82">
        <f ca="1">IFERROR(
  VLOOKUP(A69, '1C'!C:S, 17, 0),)</f>
        <v>2</v>
      </c>
      <c r="G69" s="83" t="str">
        <f ca="1">IFERROR(
  VLOOKUP(A69, '1C'!C:U, 19, 0),)</f>
        <v>5A</v>
      </c>
      <c r="H69" s="81" t="str">
        <f ca="1">IFERROR(
  VLOOKUP(A69, '1C'!C:G, 5, 0),)</f>
        <v>NTTR10300</v>
      </c>
      <c r="I69" s="90">
        <f ca="1">IFERROR( VLOOKUP(A69, '1C'!C:I, 7, 0),)</f>
        <v>0</v>
      </c>
      <c r="J69" s="91" t="str">
        <f ca="1">IFERROR(
  VLOOKUP(A69, '1C'!C:H, 6, 0),)</f>
        <v>9025 19 20 90</v>
      </c>
      <c r="K69" s="86"/>
      <c r="L69" s="92"/>
    </row>
    <row r="70" spans="1:12" ht="14.4">
      <c r="A70" s="88" t="str">
        <f ca="1">IFERROR(__xludf.DUMMYFUNCTION("iferror(IFERROR(
HYPERLINK(
  VLOOKUP(
    INDEX(UNIQUE(FLATTEN({'1C'!$W$2:W200,'1C'!$C$2:C200})), ROW(A68)), 
    '1C'!C:O, 12, 0),
  INDEX(UNIQUE(FLATTEN({'1C'!$W$2:W200,'1C'!$C$2:C200})), ROW(A68))),
MATCH(INDEX(UNIQUE(FLATTEN({'1C'!$W$2:W200,'1C'!$C$2"&amp;":C200})), ROW(A68)), L$3:L200, 0)
),)"),"TR-100")</f>
        <v>TR-100</v>
      </c>
      <c r="B70" s="108">
        <f ca="1">IFERROR(
  VLOOKUP(A70, '1C'!C:E, 3, 0),)</f>
        <v>136</v>
      </c>
      <c r="C70" s="108">
        <f ca="1">IFERROR(
  VLOOKUP(A70, '1C'!C:Z, 24, 0),)</f>
        <v>136</v>
      </c>
      <c r="D70" s="80" t="str">
        <f ca="1">IFERROR(
  VLOOKUP(A70, '1C'!C:K, 9, 0),)</f>
        <v>Dry-type transformer protection unit, 4 channels, ModBus</v>
      </c>
      <c r="E70" s="81" t="str">
        <f ca="1">IFERROR(
  VLOOKUP(A70, '1C'!C:Q, 15, 0),)</f>
        <v>DIN</v>
      </c>
      <c r="F70" s="82">
        <f ca="1">IFERROR(
  VLOOKUP(A70, '1C'!C:S, 17, 0),)</f>
        <v>8</v>
      </c>
      <c r="G70" s="83" t="str">
        <f ca="1">IFERROR(
  VLOOKUP(A70, '1C'!C:U, 19, 0),)</f>
        <v>10А</v>
      </c>
      <c r="H70" s="81" t="str">
        <f ca="1">IFERROR(
  VLOOKUP(A70, '1C'!C:G, 5, 0),)</f>
        <v>NTTR10000</v>
      </c>
      <c r="I70" s="90">
        <f ca="1">IFERROR( VLOOKUP(A70, '1C'!C:I, 7, 0),)</f>
        <v>0</v>
      </c>
      <c r="J70" s="91" t="str">
        <f ca="1">IFERROR(
  VLOOKUP(A70, '1C'!C:H, 6, 0),)</f>
        <v>9032 10 20 00</v>
      </c>
      <c r="K70" s="86"/>
      <c r="L70" s="92"/>
    </row>
    <row r="71" spans="1:12" ht="14.4">
      <c r="A71" s="88" t="str">
        <f ca="1">IFERROR(__xludf.DUMMYFUNCTION("iferror(IFERROR(
HYPERLINK(
  VLOOKUP(
    INDEX(UNIQUE(FLATTEN({'1C'!$W$2:W200,'1C'!$C$2:C200})), ROW(A69)), 
    '1C'!C:O, 12, 0),
  INDEX(UNIQUE(FLATTEN({'1C'!$W$2:W200,'1C'!$C$2:C200})), ROW(A69))),
MATCH(INDEX(UNIQUE(FLATTEN({'1C'!$W$2:W200,'1C'!$C$2"&amp;":C200})), ROW(A69)), L$3:L200, 0)
),)"),"TR-100m")</f>
        <v>TR-100m</v>
      </c>
      <c r="B71" s="108">
        <f ca="1">IFERROR(
  VLOOKUP(A71, '1C'!C:E, 3, 0),)</f>
        <v>149</v>
      </c>
      <c r="C71" s="108">
        <f ca="1">IFERROR(
  VLOOKUP(A71, '1C'!C:Z, 24, 0),)</f>
        <v>149</v>
      </c>
      <c r="D71" s="80" t="str">
        <f ca="1">IFERROR(
  VLOOKUP(A71, '1C'!C:K, 9, 0),)</f>
        <v>Dry-type transformer protection unit, 4 channels, ModBus</v>
      </c>
      <c r="E71" s="81" t="str">
        <f ca="1">IFERROR(
  VLOOKUP(A71, '1C'!C:Q, 15, 0),)</f>
        <v>Panel</v>
      </c>
      <c r="F71" s="82" t="str">
        <f ca="1">IFERROR(
  VLOOKUP(A71, '1C'!C:S, 17, 0),)</f>
        <v>-</v>
      </c>
      <c r="G71" s="83" t="str">
        <f ca="1">IFERROR(
  VLOOKUP(A71, '1C'!C:U, 19, 0),)</f>
        <v>10А</v>
      </c>
      <c r="H71" s="81" t="str">
        <f ca="1">IFERROR(
  VLOOKUP(A71, '1C'!C:G, 5, 0),)</f>
        <v>NTTR100M0</v>
      </c>
      <c r="I71" s="90">
        <f ca="1">IFERROR( VLOOKUP(A71, '1C'!C:I, 7, 0),)</f>
        <v>0</v>
      </c>
      <c r="J71" s="91" t="str">
        <f ca="1">IFERROR(
  VLOOKUP(A71, '1C'!C:H, 6, 0),)</f>
        <v>9032 10 20 00</v>
      </c>
      <c r="K71" s="86"/>
      <c r="L71" s="92"/>
    </row>
    <row r="72" spans="1:12" ht="14.4">
      <c r="A72" s="93" t="str">
        <f ca="1">IFERROR(__xludf.DUMMYFUNCTION("iferror(IFERROR(
HYPERLINK(
  VLOOKUP(
    INDEX(UNIQUE(FLATTEN({'1C'!$W$2:W200,'1C'!$C$2:C200})), ROW(A70)), 
    '1C'!C:O, 12, 0),
  INDEX(UNIQUE(FLATTEN({'1C'!$W$2:W200,'1C'!$C$2:C200})), ROW(A70))),
MATCH(INDEX(UNIQUE(FLATTEN({'1C'!$W$2:W200,'1C'!$C$2"&amp;":C200})), ROW(A70)), L$3:L200, 0)
),)"),"Pump station / pressure relay controllers")</f>
        <v>Pump station / pressure relay controllers</v>
      </c>
      <c r="B72" s="108">
        <f ca="1">IFERROR(
  VLOOKUP(A72, '1C'!C:E, 3, 0),)</f>
        <v>0</v>
      </c>
      <c r="C72" s="108">
        <f ca="1">IFERROR(
  VLOOKUP(A72, '1C'!C:Z, 24, 0),)</f>
        <v>0</v>
      </c>
      <c r="D72" s="80">
        <f ca="1">IFERROR(
  VLOOKUP(A72, '1C'!C:K, 9, 0),)</f>
        <v>0</v>
      </c>
      <c r="E72" s="81">
        <f ca="1">IFERROR(
  VLOOKUP(A72, '1C'!C:Q, 15, 0),)</f>
        <v>0</v>
      </c>
      <c r="F72" s="82">
        <f ca="1">IFERROR(
  VLOOKUP(A72, '1C'!C:S, 17, 0),)</f>
        <v>0</v>
      </c>
      <c r="G72" s="83">
        <f ca="1">IFERROR(
  VLOOKUP(A72, '1C'!C:U, 19, 0),)</f>
        <v>0</v>
      </c>
      <c r="H72" s="81">
        <f ca="1">IFERROR(
  VLOOKUP(A72, '1C'!C:G, 5, 0),)</f>
        <v>0</v>
      </c>
      <c r="I72" s="90">
        <f ca="1">IFERROR( VLOOKUP(A72, '1C'!C:I, 7, 0),)</f>
        <v>0</v>
      </c>
      <c r="J72" s="91">
        <f ca="1">IFERROR(
  VLOOKUP(A72, '1C'!C:H, 6, 0),)</f>
        <v>0</v>
      </c>
      <c r="K72" s="86"/>
      <c r="L72" s="92"/>
    </row>
    <row r="73" spans="1:12" ht="14.4">
      <c r="A73" s="88" t="str">
        <f ca="1">IFERROR(__xludf.DUMMYFUNCTION("iferror(IFERROR(
HYPERLINK(
  VLOOKUP(
    INDEX(UNIQUE(FLATTEN({'1C'!$W$2:W200,'1C'!$C$2:C200})), ROW(A71)), 
    '1C'!C:O, 12, 0),
  INDEX(UNIQUE(FLATTEN({'1C'!$W$2:W200,'1C'!$C$2:C200})), ROW(A71))),
MATCH(INDEX(UNIQUE(FLATTEN({'1C'!$W$2:W200,'1C'!$C$2"&amp;":C200})), ROW(A71)), L$3:L200, 0)
),)"),"MCK-107")</f>
        <v>MCK-107</v>
      </c>
      <c r="B73" s="108">
        <f ca="1">IFERROR(
  VLOOKUP(A73, '1C'!C:E, 3, 0),)</f>
        <v>109</v>
      </c>
      <c r="C73" s="108">
        <f ca="1">IFERROR(
  VLOOKUP(A73, '1C'!C:Z, 24, 0),)</f>
        <v>109</v>
      </c>
      <c r="D73" s="80" t="str">
        <f ca="1">IFERROR(
  VLOOKUP(A73, '1C'!C:K, 9, 0),)</f>
        <v>Level / CPG relay, operating modes - filling, drainage. ModBus, indication, compatibility with UBZ-301</v>
      </c>
      <c r="E73" s="81" t="str">
        <f ca="1">IFERROR(
  VLOOKUP(A73, '1C'!C:Q, 15, 0),)</f>
        <v>DIN</v>
      </c>
      <c r="F73" s="82">
        <f ca="1">IFERROR(
  VLOOKUP(A73, '1C'!C:S, 17, 0),)</f>
        <v>4</v>
      </c>
      <c r="G73" s="83" t="str">
        <f ca="1">IFERROR(
  VLOOKUP(A73, '1C'!C:U, 19, 0),)</f>
        <v>16А</v>
      </c>
      <c r="H73" s="81" t="str">
        <f ca="1">IFERROR(
  VLOOKUP(A73, '1C'!C:G, 5, 0),)</f>
        <v>NTMCK1070</v>
      </c>
      <c r="I73" s="90">
        <f ca="1">IFERROR( VLOOKUP(A73, '1C'!C:I, 7, 0),)</f>
        <v>0</v>
      </c>
      <c r="J73" s="91" t="str">
        <f ca="1">IFERROR(
  VLOOKUP(A73, '1C'!C:H, 6, 0),)</f>
        <v>9032 89 00 00</v>
      </c>
      <c r="K73" s="86"/>
      <c r="L73" s="92"/>
    </row>
    <row r="74" spans="1:12" ht="14.4">
      <c r="A74" s="88" t="str">
        <f ca="1">IFERROR(__xludf.DUMMYFUNCTION("iferror(IFERROR(
HYPERLINK(
  VLOOKUP(
    INDEX(UNIQUE(FLATTEN({'1C'!$W$2:W200,'1C'!$C$2:C200})), ROW(A72)), 
    '1C'!C:O, 12, 0),
  INDEX(UNIQUE(FLATTEN({'1C'!$W$2:W200,'1C'!$C$2:C200})), ROW(A72))),
MATCH(INDEX(UNIQUE(FLATTEN({'1C'!$W$2:W200,'1C'!$C$2"&amp;":C200})), ROW(A72)), L$3:L200, 0)
),)"),"MCK-108")</f>
        <v>MCK-108</v>
      </c>
      <c r="B74" s="108">
        <f ca="1">IFERROR(
  VLOOKUP(A74, '1C'!C:E, 3, 0),)</f>
        <v>46</v>
      </c>
      <c r="C74" s="108">
        <f ca="1">IFERROR(
  VLOOKUP(A74, '1C'!C:Z, 24, 0),)</f>
        <v>46</v>
      </c>
      <c r="D74" s="80" t="str">
        <f ca="1">IFERROR(
  VLOOKUP(A74, '1C'!C:K, 9, 0),)</f>
        <v>Level / CPG relay, operating modes - filling, drainage</v>
      </c>
      <c r="E74" s="81" t="str">
        <f ca="1">IFERROR(
  VLOOKUP(A74, '1C'!C:Q, 15, 0),)</f>
        <v>DIN</v>
      </c>
      <c r="F74" s="82">
        <f ca="1">IFERROR(
  VLOOKUP(A74, '1C'!C:S, 17, 0),)</f>
        <v>3</v>
      </c>
      <c r="G74" s="83" t="str">
        <f ca="1">IFERROR(
  VLOOKUP(A74, '1C'!C:U, 19, 0),)</f>
        <v>10А</v>
      </c>
      <c r="H74" s="81" t="str">
        <f ca="1">IFERROR(
  VLOOKUP(A74, '1C'!C:G, 5, 0),)</f>
        <v>NTMCK1080</v>
      </c>
      <c r="I74" s="90">
        <f ca="1">IFERROR( VLOOKUP(A74, '1C'!C:I, 7, 0),)</f>
        <v>0</v>
      </c>
      <c r="J74" s="91" t="str">
        <f ca="1">IFERROR(
  VLOOKUP(A74, '1C'!C:H, 6, 0),)</f>
        <v>9032 89 00 00</v>
      </c>
      <c r="K74" s="86"/>
      <c r="L74" s="92"/>
    </row>
    <row r="75" spans="1:12" ht="14.4">
      <c r="A75" s="93" t="str">
        <f ca="1">IFERROR(__xludf.DUMMYFUNCTION("iferror(IFERROR(
HYPERLINK(
  VLOOKUP(
    INDEX(UNIQUE(FLATTEN({'1C'!$W$2:W200,'1C'!$C$2:C200})), ROW(A73)), 
    '1C'!C:O, 12, 0),
  INDEX(UNIQUE(FLATTEN({'1C'!$W$2:W200,'1C'!$C$2:C200})), ROW(A73))),
MATCH(INDEX(UNIQUE(FLATTEN({'1C'!$W$2:W200,'1C'!$C$2"&amp;":C200})), ROW(A73)), L$3:L200, 0)
),)"),"Electrical parameters register")</f>
        <v>Electrical parameters register</v>
      </c>
      <c r="B75" s="108">
        <f ca="1">IFERROR(
  VLOOKUP(A75, '1C'!C:E, 3, 0),)</f>
        <v>0</v>
      </c>
      <c r="C75" s="108">
        <f ca="1">IFERROR(
  VLOOKUP(A75, '1C'!C:Z, 24, 0),)</f>
        <v>0</v>
      </c>
      <c r="D75" s="80">
        <f ca="1">IFERROR(
  VLOOKUP(A75, '1C'!C:K, 9, 0),)</f>
        <v>0</v>
      </c>
      <c r="E75" s="81">
        <f ca="1">IFERROR(
  VLOOKUP(A75, '1C'!C:Q, 15, 0),)</f>
        <v>0</v>
      </c>
      <c r="F75" s="82">
        <f ca="1">IFERROR(
  VLOOKUP(A75, '1C'!C:S, 17, 0),)</f>
        <v>0</v>
      </c>
      <c r="G75" s="83">
        <f ca="1">IFERROR(
  VLOOKUP(A75, '1C'!C:U, 19, 0),)</f>
        <v>0</v>
      </c>
      <c r="H75" s="81">
        <f ca="1">IFERROR(
  VLOOKUP(A75, '1C'!C:G, 5, 0),)</f>
        <v>0</v>
      </c>
      <c r="I75" s="90">
        <f ca="1">IFERROR( VLOOKUP(A75, '1C'!C:I, 7, 0),)</f>
        <v>0</v>
      </c>
      <c r="J75" s="91">
        <f ca="1">IFERROR(
  VLOOKUP(A75, '1C'!C:H, 6, 0),)</f>
        <v>0</v>
      </c>
      <c r="K75" s="86"/>
      <c r="L75" s="92"/>
    </row>
    <row r="76" spans="1:12" ht="14.4">
      <c r="A76" s="88" t="str">
        <f ca="1">IFERROR(__xludf.DUMMYFUNCTION("iferror(IFERROR(
HYPERLINK(
  VLOOKUP(
    INDEX(UNIQUE(FLATTEN({'1C'!$W$2:W200,'1C'!$C$2:C200})), ROW(A74)), 
    '1C'!C:O, 12, 0),
  INDEX(UNIQUE(FLATTEN({'1C'!$W$2:W200,'1C'!$C$2:C200})), ROW(A74))),
MATCH(INDEX(UNIQUE(FLATTEN({'1C'!$W$2:W200,'1C'!$C$2"&amp;":C200})), ROW(A74)), L$3:L200, 0)
),)"),"RPM-416")</f>
        <v>RPM-416</v>
      </c>
      <c r="B76" s="108">
        <f ca="1">IFERROR(
  VLOOKUP(A76, '1C'!C:E, 3, 0),)</f>
        <v>376</v>
      </c>
      <c r="C76" s="108">
        <f ca="1">IFERROR(
  VLOOKUP(A76, '1C'!C:Z, 24, 0),)</f>
        <v>376</v>
      </c>
      <c r="D76" s="80" t="str">
        <f ca="1">IFERROR(
  VLOOKUP(A76, '1C'!C:K, 9, 0),)</f>
        <v>Grid quality analyzer, SD card recording, 21 channels, ModBus TCP, PC app</v>
      </c>
      <c r="E76" s="81" t="str">
        <f ca="1">IFERROR(
  VLOOKUP(A76, '1C'!C:Q, 15, 0),)</f>
        <v>DIN</v>
      </c>
      <c r="F76" s="82">
        <f ca="1">IFERROR(
  VLOOKUP(A76, '1C'!C:S, 17, 0),)</f>
        <v>9</v>
      </c>
      <c r="G76" s="83" t="str">
        <f ca="1">IFERROR(
  VLOOKUP(A76, '1C'!C:U, 19, 0),)</f>
        <v>-</v>
      </c>
      <c r="H76" s="81" t="str">
        <f ca="1">IFERROR(
  VLOOKUP(A76, '1C'!C:G, 5, 0),)</f>
        <v>NTRPM4160</v>
      </c>
      <c r="I76" s="90">
        <f ca="1">IFERROR( VLOOKUP(A76, '1C'!C:I, 7, 0),)</f>
        <v>4820122950528</v>
      </c>
      <c r="J76" s="91" t="str">
        <f ca="1">IFERROR(
  VLOOKUP(A76, '1C'!C:H, 6, 0),)</f>
        <v>9030 32 00 00</v>
      </c>
      <c r="K76" s="86"/>
      <c r="L76" s="92"/>
    </row>
    <row r="77" spans="1:12" ht="14.4">
      <c r="A77" s="93" t="str">
        <f ca="1">IFERROR(__xludf.DUMMYFUNCTION("iferror(IFERROR(
HYPERLINK(
  VLOOKUP(
    INDEX(UNIQUE(FLATTEN({'1C'!$W$2:W200,'1C'!$C$2:C200})), ROW(A75)), 
    '1C'!C:O, 12, 0),
  INDEX(UNIQUE(FLATTEN({'1C'!$W$2:W200,'1C'!$C$2:C200})), ROW(A75))),
MATCH(INDEX(UNIQUE(FLATTEN({'1C'!$W$2:W200,'1C'!$C$2"&amp;":C200})), ROW(A75)), L$3:L200, 0)
),)"),"Mobile station RPM 100/5")</f>
        <v>Mobile station RPM 100/5</v>
      </c>
      <c r="B77" s="108" t="str">
        <f ca="1">IFERROR(
  VLOOKUP(A77, '1C'!C:E, 3, 0),)</f>
        <v>on order</v>
      </c>
      <c r="C77" s="108" t="str">
        <f ca="1">IFERROR(
  VLOOKUP(A77, '1C'!C:Z, 24, 0),)</f>
        <v>on order</v>
      </c>
      <c r="D77" s="80" t="str">
        <f ca="1">IFERROR(
  VLOOKUP(A77, '1C'!C:K, 9, 0),)</f>
        <v>Set: IP board, automatic, RPM-416, 3 current transformers 100/5А, clamps, UTP-cable.</v>
      </c>
      <c r="E77" s="81" t="str">
        <f ca="1">IFERROR(
  VLOOKUP(A77, '1C'!C:Q, 15, 0),)</f>
        <v>Control panel</v>
      </c>
      <c r="F77" s="82" t="str">
        <f ca="1">IFERROR(
  VLOOKUP(A77, '1C'!C:S, 17, 0),)</f>
        <v>-</v>
      </c>
      <c r="G77" s="83" t="str">
        <f ca="1">IFERROR(
  VLOOKUP(A77, '1C'!C:U, 19, 0),)</f>
        <v>100A</v>
      </c>
      <c r="H77" s="81" t="str">
        <f ca="1">IFERROR(
  VLOOKUP(A77, '1C'!C:G, 5, 0),)</f>
        <v>NTRPM4161</v>
      </c>
      <c r="I77" s="90" t="str">
        <f ca="1">IFERROR( VLOOKUP(A77, '1C'!C:I, 7, 0),)</f>
        <v>-</v>
      </c>
      <c r="J77" s="91" t="str">
        <f ca="1">IFERROR(
  VLOOKUP(A77, '1C'!C:H, 6, 0),)</f>
        <v>-</v>
      </c>
      <c r="K77" s="86"/>
      <c r="L77" s="92"/>
    </row>
    <row r="78" spans="1:12" ht="14.4">
      <c r="A78" s="93" t="str">
        <f ca="1">IFERROR(__xludf.DUMMYFUNCTION("iferror(IFERROR(
HYPERLINK(
  VLOOKUP(
    INDEX(UNIQUE(FLATTEN({'1C'!$W$2:W200,'1C'!$C$2:C200})), ROW(A76)), 
    '1C'!C:O, 12, 0),
  INDEX(UNIQUE(FLATTEN({'1C'!$W$2:W200,'1C'!$C$2:C200})), ROW(A76))),
MATCH(INDEX(UNIQUE(FLATTEN({'1C'!$W$2:W200,'1C'!$C$2"&amp;":C200})), ROW(A76)), L$3:L200, 0)
),)"),"Mobile station RPM 200/5")</f>
        <v>Mobile station RPM 200/5</v>
      </c>
      <c r="B78" s="108" t="str">
        <f ca="1">IFERROR(
  VLOOKUP(A78, '1C'!C:E, 3, 0),)</f>
        <v>on order</v>
      </c>
      <c r="C78" s="108" t="str">
        <f ca="1">IFERROR(
  VLOOKUP(A78, '1C'!C:Z, 24, 0),)</f>
        <v>on order</v>
      </c>
      <c r="D78" s="80" t="str">
        <f ca="1">IFERROR(
  VLOOKUP(A78, '1C'!C:K, 9, 0),)</f>
        <v>Set: IP board, automatic, RPM-416, 3 current transformers 200/5А, clamps, UTP-cable.</v>
      </c>
      <c r="E78" s="81" t="str">
        <f ca="1">IFERROR(
  VLOOKUP(A78, '1C'!C:Q, 15, 0),)</f>
        <v>Control panel</v>
      </c>
      <c r="F78" s="82" t="str">
        <f ca="1">IFERROR(
  VLOOKUP(A78, '1C'!C:S, 17, 0),)</f>
        <v>-</v>
      </c>
      <c r="G78" s="83" t="str">
        <f ca="1">IFERROR(
  VLOOKUP(A78, '1C'!C:U, 19, 0),)</f>
        <v>200A</v>
      </c>
      <c r="H78" s="81" t="str">
        <f ca="1">IFERROR(
  VLOOKUP(A78, '1C'!C:G, 5, 0),)</f>
        <v>NTRPM4162</v>
      </c>
      <c r="I78" s="90">
        <f ca="1">IFERROR( VLOOKUP(A78, '1C'!C:I, 7, 0),)</f>
        <v>0</v>
      </c>
      <c r="J78" s="91" t="str">
        <f ca="1">IFERROR(
  VLOOKUP(A78, '1C'!C:H, 6, 0),)</f>
        <v>-</v>
      </c>
      <c r="K78" s="86"/>
      <c r="L78" s="92"/>
    </row>
    <row r="79" spans="1:12" ht="14.4">
      <c r="A79" s="93" t="str">
        <f ca="1">IFERROR(__xludf.DUMMYFUNCTION("iferror(IFERROR(
HYPERLINK(
  VLOOKUP(
    INDEX(UNIQUE(FLATTEN({'1C'!$W$2:W200,'1C'!$C$2:C200})), ROW(A77)), 
    '1C'!C:O, 12, 0),
  INDEX(UNIQUE(FLATTEN({'1C'!$W$2:W200,'1C'!$C$2:C200})), ROW(A77))),
MATCH(INDEX(UNIQUE(FLATTEN({'1C'!$W$2:W200,'1C'!$C$2"&amp;":C200})), ROW(A77)), L$3:L200, 0)
),)"),"Mobile station RPM 400/5")</f>
        <v>Mobile station RPM 400/5</v>
      </c>
      <c r="B79" s="108" t="str">
        <f ca="1">IFERROR(
  VLOOKUP(A79, '1C'!C:E, 3, 0),)</f>
        <v>on order</v>
      </c>
      <c r="C79" s="108" t="str">
        <f ca="1">IFERROR(
  VLOOKUP(A79, '1C'!C:Z, 24, 0),)</f>
        <v>on order</v>
      </c>
      <c r="D79" s="80" t="str">
        <f ca="1">IFERROR(
  VLOOKUP(A79, '1C'!C:K, 9, 0),)</f>
        <v>Set: IP board, automatic, RPM-416, 3 current transformers 400/5А, clamps, UTP-cable.</v>
      </c>
      <c r="E79" s="81" t="str">
        <f ca="1">IFERROR(
  VLOOKUP(A79, '1C'!C:Q, 15, 0),)</f>
        <v>Control panel</v>
      </c>
      <c r="F79" s="82" t="str">
        <f ca="1">IFERROR(
  VLOOKUP(A79, '1C'!C:S, 17, 0),)</f>
        <v>-</v>
      </c>
      <c r="G79" s="83" t="str">
        <f ca="1">IFERROR(
  VLOOKUP(A79, '1C'!C:U, 19, 0),)</f>
        <v>400A</v>
      </c>
      <c r="H79" s="81" t="str">
        <f ca="1">IFERROR(
  VLOOKUP(A79, '1C'!C:G, 5, 0),)</f>
        <v>NTRPM4164</v>
      </c>
      <c r="I79" s="90">
        <f ca="1">IFERROR( VLOOKUP(A79, '1C'!C:I, 7, 0),)</f>
        <v>0</v>
      </c>
      <c r="J79" s="91" t="str">
        <f ca="1">IFERROR(
  VLOOKUP(A79, '1C'!C:H, 6, 0),)</f>
        <v>-</v>
      </c>
      <c r="K79" s="86"/>
      <c r="L79" s="92"/>
    </row>
    <row r="80" spans="1:12" ht="14.4">
      <c r="A80" s="93" t="str">
        <f ca="1">IFERROR(__xludf.DUMMYFUNCTION("iferror(IFERROR(
HYPERLINK(
  VLOOKUP(
    INDEX(UNIQUE(FLATTEN({'1C'!$W$2:W200,'1C'!$C$2:C200})), ROW(A78)), 
    '1C'!C:O, 12, 0),
  INDEX(UNIQUE(FLATTEN({'1C'!$W$2:W200,'1C'!$C$2:C200})), ROW(A78))),
MATCH(INDEX(UNIQUE(FLATTEN({'1C'!$W$2:W200,'1C'!$C$2"&amp;":C200})), ROW(A78)), L$3:L200, 0)
),)"),"Mobile station RPM 800/5")</f>
        <v>Mobile station RPM 800/5</v>
      </c>
      <c r="B80" s="108" t="str">
        <f ca="1">IFERROR(
  VLOOKUP(A80, '1C'!C:E, 3, 0),)</f>
        <v>on order</v>
      </c>
      <c r="C80" s="108" t="str">
        <f ca="1">IFERROR(
  VLOOKUP(A80, '1C'!C:Z, 24, 0),)</f>
        <v>on order</v>
      </c>
      <c r="D80" s="80" t="str">
        <f ca="1">IFERROR(
  VLOOKUP(A80, '1C'!C:K, 9, 0),)</f>
        <v>Set: IP board, automatic, RPM-416, 3 current transformers 800/5А, clamps, UTP-cable.</v>
      </c>
      <c r="E80" s="81" t="str">
        <f ca="1">IFERROR(
  VLOOKUP(A80, '1C'!C:Q, 15, 0),)</f>
        <v>Control panel</v>
      </c>
      <c r="F80" s="82" t="str">
        <f ca="1">IFERROR(
  VLOOKUP(A80, '1C'!C:S, 17, 0),)</f>
        <v>-</v>
      </c>
      <c r="G80" s="83" t="str">
        <f ca="1">IFERROR(
  VLOOKUP(A80, '1C'!C:U, 19, 0),)</f>
        <v>800A</v>
      </c>
      <c r="H80" s="81" t="str">
        <f ca="1">IFERROR(
  VLOOKUP(A80, '1C'!C:G, 5, 0),)</f>
        <v>NTRPM4168</v>
      </c>
      <c r="I80" s="90">
        <f ca="1">IFERROR( VLOOKUP(A80, '1C'!C:I, 7, 0),)</f>
        <v>0</v>
      </c>
      <c r="J80" s="91" t="str">
        <f ca="1">IFERROR(
  VLOOKUP(A80, '1C'!C:H, 6, 0),)</f>
        <v>-</v>
      </c>
      <c r="K80" s="86"/>
      <c r="L80" s="92"/>
    </row>
    <row r="81" spans="1:12" ht="14.4">
      <c r="A81" s="93" t="str">
        <f ca="1">IFERROR(__xludf.DUMMYFUNCTION("iferror(IFERROR(
HYPERLINK(
  VLOOKUP(
    INDEX(UNIQUE(FLATTEN({'1C'!$W$2:W200,'1C'!$C$2:C200})), ROW(A79)), 
    '1C'!C:O, 12, 0),
  INDEX(UNIQUE(FLATTEN({'1C'!$W$2:W200,'1C'!$C$2:C200})), ROW(A79))),
MATCH(INDEX(UNIQUE(FLATTEN({'1C'!$W$2:W200,'1C'!$C$2"&amp;":C200})), ROW(A79)), L$3:L200, 0)
),)"),"Reactive power compensator")</f>
        <v>Reactive power compensator</v>
      </c>
      <c r="B81" s="108">
        <f ca="1">IFERROR(
  VLOOKUP(A81, '1C'!C:E, 3, 0),)</f>
        <v>0</v>
      </c>
      <c r="C81" s="108">
        <f ca="1">IFERROR(
  VLOOKUP(A81, '1C'!C:Z, 24, 0),)</f>
        <v>0</v>
      </c>
      <c r="D81" s="80">
        <f ca="1">IFERROR(
  VLOOKUP(A81, '1C'!C:K, 9, 0),)</f>
        <v>0</v>
      </c>
      <c r="E81" s="81">
        <f ca="1">IFERROR(
  VLOOKUP(A81, '1C'!C:Q, 15, 0),)</f>
        <v>0</v>
      </c>
      <c r="F81" s="82">
        <f ca="1">IFERROR(
  VLOOKUP(A81, '1C'!C:S, 17, 0),)</f>
        <v>0</v>
      </c>
      <c r="G81" s="83">
        <f ca="1">IFERROR(
  VLOOKUP(A81, '1C'!C:U, 19, 0),)</f>
        <v>0</v>
      </c>
      <c r="H81" s="81">
        <f ca="1">IFERROR(
  VLOOKUP(A81, '1C'!C:G, 5, 0),)</f>
        <v>0</v>
      </c>
      <c r="I81" s="90">
        <f ca="1">IFERROR( VLOOKUP(A81, '1C'!C:I, 7, 0),)</f>
        <v>0</v>
      </c>
      <c r="J81" s="91">
        <f ca="1">IFERROR(
  VLOOKUP(A81, '1C'!C:H, 6, 0),)</f>
        <v>0</v>
      </c>
      <c r="K81" s="86"/>
      <c r="L81" s="92"/>
    </row>
    <row r="82" spans="1:12" ht="14.4">
      <c r="A82" s="93" t="str">
        <f ca="1">IFERROR(__xludf.DUMMYFUNCTION("iferror(IFERROR(
HYPERLINK(
  VLOOKUP(
    INDEX(UNIQUE(FLATTEN({'1C'!$W$2:W200,'1C'!$C$2:C200})), ROW(A80)), 
    '1C'!C:O, 12, 0),
  INDEX(UNIQUE(FLATTEN({'1C'!$W$2:W200,'1C'!$C$2:C200})), ROW(A80))),
MATCH(INDEX(UNIQUE(FLATTEN({'1C'!$W$2:W200,'1C'!$C$2"&amp;":C200})), ROW(A80)), L$3:L200, 0)
),)"),"KRM-136")</f>
        <v>KRM-136</v>
      </c>
      <c r="B82" s="108">
        <f ca="1">IFERROR(
  VLOOKUP(A82, '1C'!C:E, 3, 0),)</f>
        <v>194</v>
      </c>
      <c r="C82" s="108">
        <f ca="1">IFERROR(
  VLOOKUP(A82, '1C'!C:Z, 24, 0),)</f>
        <v>194</v>
      </c>
      <c r="D82" s="80" t="str">
        <f ca="1">IFERROR(
  VLOOKUP(A82, '1C'!C:K, 9, 0),)</f>
        <v>Reactive power controller, 6 "cans" (not included)</v>
      </c>
      <c r="E82" s="81" t="str">
        <f ca="1">IFERROR(
  VLOOKUP(A82, '1C'!C:Q, 15, 0),)</f>
        <v>Panel</v>
      </c>
      <c r="F82" s="82" t="str">
        <f ca="1">IFERROR(
  VLOOKUP(A82, '1C'!C:S, 17, 0),)</f>
        <v>-</v>
      </c>
      <c r="G82" s="83" t="str">
        <f ca="1">IFERROR(
  VLOOKUP(A82, '1C'!C:U, 19, 0),)</f>
        <v>7А</v>
      </c>
      <c r="H82" s="81" t="str">
        <f ca="1">IFERROR(
  VLOOKUP(A82, '1C'!C:G, 5, 0),)</f>
        <v>NTKRM1360</v>
      </c>
      <c r="I82" s="90">
        <f ca="1">IFERROR( VLOOKUP(A82, '1C'!C:I, 7, 0),)</f>
        <v>0</v>
      </c>
      <c r="J82" s="91" t="str">
        <f ca="1">IFERROR(
  VLOOKUP(A82, '1C'!C:H, 6, 0),)</f>
        <v>8537 10 91 00</v>
      </c>
      <c r="K82" s="86"/>
      <c r="L82" s="92"/>
    </row>
    <row r="83" spans="1:12" ht="14.4">
      <c r="A83" s="93" t="str">
        <f ca="1">IFERROR(__xludf.DUMMYFUNCTION("iferror(IFERROR(
HYPERLINK(
  VLOOKUP(
    INDEX(UNIQUE(FLATTEN({'1C'!$W$2:W200,'1C'!$C$2:C200})), ROW(A81)), 
    '1C'!C:O, 12, 0),
  INDEX(UNIQUE(FLATTEN({'1C'!$W$2:W200,'1C'!$C$2:C200})), ROW(A81))),
MATCH(INDEX(UNIQUE(FLATTEN({'1C'!$W$2:W200,'1C'!$C$2"&amp;":C200})), ROW(A81)), L$3:L200, 0)
),)"),"Preliminary control of insulation resistance")</f>
        <v>Preliminary control of insulation resistance</v>
      </c>
      <c r="B83" s="108">
        <f ca="1">IFERROR(
  VLOOKUP(A83, '1C'!C:E, 3, 0),)</f>
        <v>0</v>
      </c>
      <c r="C83" s="108">
        <f ca="1">IFERROR(
  VLOOKUP(A83, '1C'!C:Z, 24, 0),)</f>
        <v>0</v>
      </c>
      <c r="D83" s="80">
        <f ca="1">IFERROR(
  VLOOKUP(A83, '1C'!C:K, 9, 0),)</f>
        <v>0</v>
      </c>
      <c r="E83" s="81">
        <f ca="1">IFERROR(
  VLOOKUP(A83, '1C'!C:Q, 15, 0),)</f>
        <v>0</v>
      </c>
      <c r="F83" s="82">
        <f ca="1">IFERROR(
  VLOOKUP(A83, '1C'!C:S, 17, 0),)</f>
        <v>0</v>
      </c>
      <c r="G83" s="83">
        <f ca="1">IFERROR(
  VLOOKUP(A83, '1C'!C:U, 19, 0),)</f>
        <v>0</v>
      </c>
      <c r="H83" s="81">
        <f ca="1">IFERROR(
  VLOOKUP(A83, '1C'!C:G, 5, 0),)</f>
        <v>0</v>
      </c>
      <c r="I83" s="90">
        <f ca="1">IFERROR( VLOOKUP(A83, '1C'!C:I, 7, 0),)</f>
        <v>0</v>
      </c>
      <c r="J83" s="91">
        <f ca="1">IFERROR(
  VLOOKUP(A83, '1C'!C:H, 6, 0),)</f>
        <v>0</v>
      </c>
      <c r="K83" s="86"/>
      <c r="L83" s="92"/>
    </row>
    <row r="84" spans="1:12" ht="14.4">
      <c r="A84" s="93" t="str">
        <f ca="1">IFERROR(__xludf.DUMMYFUNCTION("iferror(IFERROR(
HYPERLINK(
  VLOOKUP(
    INDEX(UNIQUE(FLATTEN({'1C'!$W$2:W200,'1C'!$C$2:C200})), ROW(A82)), 
    '1C'!C:O, 12, 0),
  INDEX(UNIQUE(FLATTEN({'1C'!$W$2:W200,'1C'!$C$2:C200})), ROW(A82))),
MATCH(INDEX(UNIQUE(FLATTEN({'1C'!$W$2:W200,'1C'!$C$2"&amp;":C200})), ROW(A82)), L$3:L200, 0)
),)"),"PCIR")</f>
        <v>PCIR</v>
      </c>
      <c r="B84" s="108">
        <f ca="1">IFERROR(
  VLOOKUP(A84, '1C'!C:E, 3, 0),)</f>
        <v>944</v>
      </c>
      <c r="C84" s="108">
        <f ca="1">IFERROR(
  VLOOKUP(A84, '1C'!C:Z, 24, 0),)</f>
        <v>944</v>
      </c>
      <c r="D84" s="80" t="str">
        <f ca="1">IFERROR(
  VLOOKUP(A84, '1C'!C:K, 9, 0),)</f>
        <v>Preliminary control of insulation resistance</v>
      </c>
      <c r="E84" s="81" t="str">
        <f ca="1">IFERROR(
  VLOOKUP(A84, '1C'!C:Q, 15, 0),)</f>
        <v>Other</v>
      </c>
      <c r="F84" s="82" t="str">
        <f ca="1">IFERROR(
  VLOOKUP(A84, '1C'!C:S, 17, 0),)</f>
        <v>-</v>
      </c>
      <c r="G84" s="83" t="str">
        <f ca="1">IFERROR(
  VLOOKUP(A84, '1C'!C:U, 19, 0),)</f>
        <v>-</v>
      </c>
      <c r="H84" s="81" t="str">
        <f ca="1">IFERROR(
  VLOOKUP(A84, '1C'!C:G, 5, 0),)</f>
        <v>NTPPKSI00</v>
      </c>
      <c r="I84" s="90">
        <f ca="1">IFERROR( VLOOKUP(A84, '1C'!C:I, 7, 0),)</f>
        <v>0</v>
      </c>
      <c r="J84" s="91" t="str">
        <f ca="1">IFERROR(
  VLOOKUP(A84, '1C'!C:H, 6, 0),)</f>
        <v>9030 33 20 00</v>
      </c>
      <c r="K84" s="86"/>
      <c r="L84" s="92"/>
    </row>
    <row r="85" spans="1:12" ht="14.4">
      <c r="A85" s="93" t="str">
        <f ca="1">IFERROR(__xludf.DUMMYFUNCTION("iferror(IFERROR(
HYPERLINK(
  VLOOKUP(
    INDEX(UNIQUE(FLATTEN({'1C'!$W$2:W200,'1C'!$C$2:C200})), ROW(A83)), 
    '1C'!C:O, 12, 0),
  INDEX(UNIQUE(FLATTEN({'1C'!$W$2:W200,'1C'!$C$2:C200})), ROW(A83))),
MATCH(INDEX(UNIQUE(FLATTEN({'1C'!$W$2:W200,'1C'!$C$2"&amp;":C200})), ROW(A83)), L$3:L200, 0)
),)"),"Block divider to PCIR")</f>
        <v>Block divider to PCIR</v>
      </c>
      <c r="B85" s="108">
        <f ca="1">IFERROR(
  VLOOKUP(A85, '1C'!C:E, 3, 0),)</f>
        <v>944</v>
      </c>
      <c r="C85" s="108">
        <f ca="1">IFERROR(
  VLOOKUP(A85, '1C'!C:Z, 24, 0),)</f>
        <v>944</v>
      </c>
      <c r="D85" s="80" t="str">
        <f ca="1">IFERROR(
  VLOOKUP(A85, '1C'!C:K, 9, 0),)</f>
        <v>Block divider</v>
      </c>
      <c r="E85" s="81" t="str">
        <f ca="1">IFERROR(
  VLOOKUP(A85, '1C'!C:Q, 15, 0),)</f>
        <v>Other</v>
      </c>
      <c r="F85" s="82">
        <f ca="1">IFERROR(
  VLOOKUP(A85, '1C'!C:S, 17, 0),)</f>
        <v>0</v>
      </c>
      <c r="G85" s="83">
        <f ca="1">IFERROR(
  VLOOKUP(A85, '1C'!C:U, 19, 0),)</f>
        <v>0</v>
      </c>
      <c r="H85" s="81" t="str">
        <f ca="1">IFERROR(
  VLOOKUP(A85, '1C'!C:G, 5, 0),)</f>
        <v>NTPPKSI01</v>
      </c>
      <c r="I85" s="90">
        <f ca="1">IFERROR( VLOOKUP(A85, '1C'!C:I, 7, 0),)</f>
        <v>0</v>
      </c>
      <c r="J85" s="91" t="str">
        <f ca="1">IFERROR(
  VLOOKUP(A85, '1C'!C:H, 6, 0),)</f>
        <v>-</v>
      </c>
      <c r="K85" s="86"/>
      <c r="L85" s="92"/>
    </row>
    <row r="86" spans="1:12" ht="14.4">
      <c r="A86" s="93" t="str">
        <f ca="1">IFERROR(__xludf.DUMMYFUNCTION("iferror(IFERROR(
HYPERLINK(
  VLOOKUP(
    INDEX(UNIQUE(FLATTEN({'1C'!$W$2:W200,'1C'!$C$2:C200})), ROW(A84)), 
    '1C'!C:O, 12, 0),
  INDEX(UNIQUE(FLATTEN({'1C'!$W$2:W200,'1C'!$C$2:C200})), ROW(A84))),
MATCH(INDEX(UNIQUE(FLATTEN({'1C'!$W$2:W200,'1C'!$C$2"&amp;":C200})), ROW(A84)), L$3:L200, 0)
),)"),"Temperature sensors")</f>
        <v>Temperature sensors</v>
      </c>
      <c r="B86" s="108">
        <f ca="1">IFERROR(
  VLOOKUP(A86, '1C'!C:E, 3, 0),)</f>
        <v>0</v>
      </c>
      <c r="C86" s="108">
        <f ca="1">IFERROR(
  VLOOKUP(A86, '1C'!C:Z, 24, 0),)</f>
        <v>0</v>
      </c>
      <c r="D86" s="80">
        <f ca="1">IFERROR(
  VLOOKUP(A86, '1C'!C:K, 9, 0),)</f>
        <v>0</v>
      </c>
      <c r="E86" s="81">
        <f ca="1">IFERROR(
  VLOOKUP(A86, '1C'!C:Q, 15, 0),)</f>
        <v>0</v>
      </c>
      <c r="F86" s="82">
        <f ca="1">IFERROR(
  VLOOKUP(A86, '1C'!C:S, 17, 0),)</f>
        <v>0</v>
      </c>
      <c r="G86" s="83">
        <f ca="1">IFERROR(
  VLOOKUP(A86, '1C'!C:U, 19, 0),)</f>
        <v>0</v>
      </c>
      <c r="H86" s="81">
        <f ca="1">IFERROR(
  VLOOKUP(A86, '1C'!C:G, 5, 0),)</f>
        <v>0</v>
      </c>
      <c r="I86" s="90">
        <f ca="1">IFERROR( VLOOKUP(A86, '1C'!C:I, 7, 0),)</f>
        <v>0</v>
      </c>
      <c r="J86" s="91">
        <f ca="1">IFERROR(
  VLOOKUP(A86, '1C'!C:H, 6, 0),)</f>
        <v>0</v>
      </c>
      <c r="K86" s="86"/>
      <c r="L86" s="92"/>
    </row>
    <row r="87" spans="1:12" ht="14.4">
      <c r="A87" s="93" t="str">
        <f ca="1">IFERROR(__xludf.DUMMYFUNCTION("iferror(IFERROR(
HYPERLINK(
  VLOOKUP(
    INDEX(UNIQUE(FLATTEN({'1C'!$W$2:W200,'1C'!$C$2:C200})), ROW(A85)), 
    '1C'!C:O, 12, 0),
  INDEX(UNIQUE(FLATTEN({'1C'!$W$2:W200,'1C'!$C$2:C200})), ROW(A85))),
MATCH(INDEX(UNIQUE(FLATTEN({'1C'!$W$2:W200,'1C'!$C$2"&amp;":C200})), ROW(A85)), L$3:L200, 0)
),)"),"NTC to MSK-102")</f>
        <v>NTC to MSK-102</v>
      </c>
      <c r="B87" s="108">
        <f ca="1">IFERROR(
  VLOOKUP(A87, '1C'!C:E, 3, 0),)</f>
        <v>6</v>
      </c>
      <c r="C87" s="108">
        <f ca="1">IFERROR(
  VLOOKUP(A87, '1C'!C:Z, 24, 0),)</f>
        <v>6</v>
      </c>
      <c r="D87" s="80" t="str">
        <f ca="1">IFERROR(
  VLOOKUP(A87, '1C'!C:K, 9, 0),)</f>
        <v>Temperature sensor NTC 10 kOhm -40°С / +125°С</v>
      </c>
      <c r="E87" s="81" t="str">
        <f ca="1">IFERROR(
  VLOOKUP(A87, '1C'!C:Q, 15, 0),)</f>
        <v>Other</v>
      </c>
      <c r="F87" s="82" t="str">
        <f ca="1">IFERROR(
  VLOOKUP(A87, '1C'!C:S, 17, 0),)</f>
        <v>-</v>
      </c>
      <c r="G87" s="83" t="str">
        <f ca="1">IFERROR(
  VLOOKUP(A87, '1C'!C:U, 19, 0),)</f>
        <v>-</v>
      </c>
      <c r="H87" s="81" t="str">
        <f ca="1">IFERROR(
  VLOOKUP(A87, '1C'!C:G, 5, 0),)</f>
        <v>NTNTC10KB</v>
      </c>
      <c r="I87" s="90">
        <f ca="1">IFERROR( VLOOKUP(A87, '1C'!C:I, 7, 0),)</f>
        <v>0</v>
      </c>
      <c r="J87" s="91" t="str">
        <f ca="1">IFERROR(
  VLOOKUP(A87, '1C'!C:H, 6, 0),)</f>
        <v>9025 90 00 98</v>
      </c>
      <c r="K87" s="86"/>
      <c r="L87" s="92"/>
    </row>
    <row r="88" spans="1:12" ht="14.4">
      <c r="A88" s="93" t="str">
        <f ca="1">IFERROR(__xludf.DUMMYFUNCTION("iferror(IFERROR(
HYPERLINK(
  VLOOKUP(
    INDEX(UNIQUE(FLATTEN({'1C'!$W$2:W200,'1C'!$C$2:C200})), ROW(A86)), 
    '1C'!C:O, 12, 0),
  INDEX(UNIQUE(FLATTEN({'1C'!$W$2:W200,'1C'!$C$2:C200})), ROW(A86))),
MATCH(INDEX(UNIQUE(FLATTEN({'1C'!$W$2:W200,'1C'!$C$2"&amp;":C200})), ROW(A86)), L$3:L200, 0)
),)"),"PTC to MSK-301")</f>
        <v>PTC to MSK-301</v>
      </c>
      <c r="B88" s="108">
        <f ca="1">IFERROR(
  VLOOKUP(A88, '1C'!C:E, 3, 0),)</f>
        <v>11</v>
      </c>
      <c r="C88" s="108">
        <f ca="1">IFERROR(
  VLOOKUP(A88, '1C'!C:Z, 24, 0),)</f>
        <v>11</v>
      </c>
      <c r="D88" s="80" t="str">
        <f ca="1">IFERROR(
  VLOOKUP(A88, '1C'!C:K, 9, 0),)</f>
        <v>Temperature sensor PTC -55°С / +100°С</v>
      </c>
      <c r="E88" s="81" t="str">
        <f ca="1">IFERROR(
  VLOOKUP(A88, '1C'!C:Q, 15, 0),)</f>
        <v>Other</v>
      </c>
      <c r="F88" s="82" t="str">
        <f ca="1">IFERROR(
  VLOOKUP(A88, '1C'!C:S, 17, 0),)</f>
        <v>-</v>
      </c>
      <c r="G88" s="83" t="str">
        <f ca="1">IFERROR(
  VLOOKUP(A88, '1C'!C:U, 19, 0),)</f>
        <v>-</v>
      </c>
      <c r="H88" s="81" t="str">
        <f ca="1">IFERROR(
  VLOOKUP(A88, '1C'!C:G, 5, 0),)</f>
        <v>NTPTC1000</v>
      </c>
      <c r="I88" s="90">
        <f ca="1">IFERROR( VLOOKUP(A88, '1C'!C:I, 7, 0),)</f>
        <v>0</v>
      </c>
      <c r="J88" s="91" t="str">
        <f ca="1">IFERROR(
  VLOOKUP(A88, '1C'!C:H, 6, 0),)</f>
        <v>9025 90 00 98</v>
      </c>
      <c r="K88" s="86"/>
      <c r="L88" s="92"/>
    </row>
    <row r="89" spans="1:12" ht="14.4">
      <c r="A89" s="93" t="str">
        <f ca="1">IFERROR(__xludf.DUMMYFUNCTION("iferror(IFERROR(
HYPERLINK(
  VLOOKUP(
    INDEX(UNIQUE(FLATTEN({'1C'!$W$2:W200,'1C'!$C$2:C200})), ROW(A87)), 
    '1C'!C:O, 12, 0),
  INDEX(UNIQUE(FLATTEN({'1C'!$W$2:W200,'1C'!$C$2:C200})), ROW(A87))),
MATCH(INDEX(UNIQUE(FLATTEN({'1C'!$W$2:W200,'1C'!$C$2"&amp;":C200})), ROW(A87)), L$3:L200, 0)
),)"),"NTC to MSK-301-5")</f>
        <v>NTC to MSK-301-5</v>
      </c>
      <c r="B89" s="108">
        <f ca="1">IFERROR(
  VLOOKUP(A89, '1C'!C:E, 3, 0),)</f>
        <v>32</v>
      </c>
      <c r="C89" s="108">
        <f ca="1">IFERROR(
  VLOOKUP(A89, '1C'!C:Z, 24, 0),)</f>
        <v>32</v>
      </c>
      <c r="D89" s="80" t="str">
        <f ca="1">IFERROR(
  VLOOKUP(A89, '1C'!C:K, 9, 0),)</f>
        <v>Temperature sensor, needle for fruit -10 ° C / + 80 ° C</v>
      </c>
      <c r="E89" s="81" t="str">
        <f ca="1">IFERROR(
  VLOOKUP(A89, '1C'!C:Q, 15, 0),)</f>
        <v>Other</v>
      </c>
      <c r="F89" s="82" t="str">
        <f ca="1">IFERROR(
  VLOOKUP(A89, '1C'!C:S, 17, 0),)</f>
        <v>-</v>
      </c>
      <c r="G89" s="83" t="str">
        <f ca="1">IFERROR(
  VLOOKUP(A89, '1C'!C:U, 19, 0),)</f>
        <v>-</v>
      </c>
      <c r="H89" s="81" t="str">
        <f ca="1">IFERROR(
  VLOOKUP(A89, '1C'!C:G, 5, 0),)</f>
        <v>NTNTC10KA</v>
      </c>
      <c r="I89" s="90">
        <f ca="1">IFERROR( VLOOKUP(A89, '1C'!C:I, 7, 0),)</f>
        <v>0</v>
      </c>
      <c r="J89" s="91" t="str">
        <f ca="1">IFERROR(
  VLOOKUP(A89, '1C'!C:H, 6, 0),)</f>
        <v>9025 90 00 98</v>
      </c>
      <c r="K89" s="86"/>
      <c r="L89" s="92"/>
    </row>
    <row r="90" spans="1:12" ht="14.4">
      <c r="A90" s="93" t="str">
        <f ca="1">IFERROR(__xludf.DUMMYFUNCTION("iferror(IFERROR(
HYPERLINK(
  VLOOKUP(
    INDEX(UNIQUE(FLATTEN({'1C'!$W$2:W200,'1C'!$C$2:C200})), ROW(A88)), 
    '1C'!C:O, 12, 0),
  INDEX(UNIQUE(FLATTEN({'1C'!$W$2:W200,'1C'!$C$2:C200})), ROW(A88))),
MATCH(INDEX(UNIQUE(FLATTEN({'1C'!$W$2:W200,'1C'!$C$2"&amp;":C200})), ROW(A88)), L$3:L200, 0)
),)"),"PT-100 to TP-100")</f>
        <v>PT-100 to TP-100</v>
      </c>
      <c r="B90" s="108">
        <f ca="1">IFERROR(
  VLOOKUP(A90, '1C'!C:E, 3, 0),)</f>
        <v>22</v>
      </c>
      <c r="C90" s="108">
        <f ca="1">IFERROR(
  VLOOKUP(A90, '1C'!C:Z, 24, 0),)</f>
        <v>22</v>
      </c>
      <c r="D90" s="80" t="str">
        <f ca="1">IFERROR(
  VLOOKUP(A90, '1C'!C:K, 9, 0),)</f>
        <v>Temperature sensor PT-100 -60 ° C / + 150 ° C</v>
      </c>
      <c r="E90" s="81" t="str">
        <f ca="1">IFERROR(
  VLOOKUP(A90, '1C'!C:Q, 15, 0),)</f>
        <v>Other</v>
      </c>
      <c r="F90" s="82" t="str">
        <f ca="1">IFERROR(
  VLOOKUP(A90, '1C'!C:S, 17, 0),)</f>
        <v>-</v>
      </c>
      <c r="G90" s="83" t="str">
        <f ca="1">IFERROR(
  VLOOKUP(A90, '1C'!C:U, 19, 0),)</f>
        <v>-</v>
      </c>
      <c r="H90" s="81" t="str">
        <f ca="1">IFERROR(
  VLOOKUP(A90, '1C'!C:G, 5, 0),)</f>
        <v>NTPT100L3</v>
      </c>
      <c r="I90" s="90">
        <f ca="1">IFERROR( VLOOKUP(A90, '1C'!C:I, 7, 0),)</f>
        <v>0</v>
      </c>
      <c r="J90" s="91" t="str">
        <f ca="1">IFERROR(
  VLOOKUP(A90, '1C'!C:H, 6, 0),)</f>
        <v>9025 90 00 98</v>
      </c>
      <c r="K90" s="86"/>
      <c r="L90" s="92"/>
    </row>
    <row r="91" spans="1:12" ht="14.4">
      <c r="A91" s="93" t="str">
        <f ca="1">IFERROR(__xludf.DUMMYFUNCTION("iferror(IFERROR(
HYPERLINK(
  VLOOKUP(
    INDEX(UNIQUE(FLATTEN({'1C'!$W$2:W200,'1C'!$C$2:C200})), ROW(A89)), 
    '1C'!C:O, 12, 0),
  INDEX(UNIQUE(FLATTEN({'1C'!$W$2:W200,'1C'!$C$2:C200})), ROW(A89))),
MATCH(INDEX(UNIQUE(FLATTEN({'1C'!$W$2:W200,'1C'!$C$2"&amp;":C200})), ROW(A89)), L$3:L200, 0)
),)"),"-")</f>
        <v>-</v>
      </c>
      <c r="B91" s="108">
        <f ca="1">IFERROR(
  VLOOKUP(A91, '1C'!C:E, 3, 0),)</f>
        <v>0</v>
      </c>
      <c r="C91" s="108">
        <f ca="1">IFERROR(
  VLOOKUP(A91, '1C'!C:Z, 24, 0),)</f>
        <v>0</v>
      </c>
      <c r="D91" s="80">
        <f ca="1">IFERROR(
  VLOOKUP(A91, '1C'!C:K, 9, 0),)</f>
        <v>0</v>
      </c>
      <c r="E91" s="81">
        <f ca="1">IFERROR(
  VLOOKUP(A91, '1C'!C:Q, 15, 0),)</f>
        <v>0</v>
      </c>
      <c r="F91" s="82">
        <f ca="1">IFERROR(
  VLOOKUP(A91, '1C'!C:S, 17, 0),)</f>
        <v>0</v>
      </c>
      <c r="G91" s="83">
        <f ca="1">IFERROR(
  VLOOKUP(A91, '1C'!C:U, 19, 0),)</f>
        <v>0</v>
      </c>
      <c r="H91" s="81">
        <f ca="1">IFERROR(
  VLOOKUP(A91, '1C'!C:G, 5, 0),)</f>
        <v>0</v>
      </c>
      <c r="I91" s="90">
        <f ca="1">IFERROR( VLOOKUP(A91, '1C'!C:I, 7, 0),)</f>
        <v>0</v>
      </c>
      <c r="J91" s="91">
        <f ca="1">IFERROR(
  VLOOKUP(A91, '1C'!C:H, 6, 0),)</f>
        <v>0</v>
      </c>
      <c r="K91" s="86"/>
      <c r="L91" s="92"/>
    </row>
    <row r="92" spans="1:12" ht="14.4">
      <c r="A92" s="93" t="str">
        <f ca="1">IFERROR(__xludf.DUMMYFUNCTION("iferror(IFERROR(
HYPERLINK(
  VLOOKUP(
    INDEX(UNIQUE(FLATTEN({'1C'!$W$2:W200,'1C'!$C$2:C200})), ROW(A90)), 
    '1C'!C:O, 12, 0),
  INDEX(UNIQUE(FLATTEN({'1C'!$W$2:W200,'1C'!$C$2:C200})), ROW(A90))),
MATCH(INDEX(UNIQUE(FLATTEN({'1C'!$W$2:W200,'1C'!$C$2"&amp;":C200})), ROW(A90)), L$3:L200, 0)
),)"),"MCK-33")</f>
        <v>MCK-33</v>
      </c>
      <c r="B92" s="108" t="str">
        <f ca="1">IFERROR(
  VLOOKUP(A92, '1C'!C:E, 3, 0),)</f>
        <v>-</v>
      </c>
      <c r="C92" s="108" t="str">
        <f ca="1">IFERROR(
  VLOOKUP(A92, '1C'!C:Z, 24, 0),)</f>
        <v>-</v>
      </c>
      <c r="D92" s="80" t="str">
        <f ca="1">IFERROR(
  VLOOKUP(A92, '1C'!C:K, 9, 0),)</f>
        <v>-</v>
      </c>
      <c r="E92" s="81" t="str">
        <f ca="1">IFERROR(
  VLOOKUP(A92, '1C'!C:Q, 15, 0),)</f>
        <v>Other</v>
      </c>
      <c r="F92" s="82" t="str">
        <f ca="1">IFERROR(
  VLOOKUP(A92, '1C'!C:S, 17, 0),)</f>
        <v>-</v>
      </c>
      <c r="G92" s="83" t="str">
        <f ca="1">IFERROR(
  VLOOKUP(A92, '1C'!C:U, 19, 0),)</f>
        <v>-</v>
      </c>
      <c r="H92" s="81" t="str">
        <f ca="1">IFERROR(
  VLOOKUP(A92, '1C'!C:G, 5, 0),)</f>
        <v>-</v>
      </c>
      <c r="I92" s="90">
        <f ca="1">IFERROR( VLOOKUP(A92, '1C'!C:I, 7, 0),)</f>
        <v>0</v>
      </c>
      <c r="J92" s="91" t="str">
        <f ca="1">IFERROR(
  VLOOKUP(A92, '1C'!C:H, 6, 0),)</f>
        <v>-</v>
      </c>
      <c r="K92" s="86"/>
      <c r="L92" s="92"/>
    </row>
    <row r="93" spans="1:12" ht="14.4">
      <c r="A93" s="93" t="str">
        <f ca="1">IFERROR(__xludf.DUMMYFUNCTION("iferror(IFERROR(
HYPERLINK(
  VLOOKUP(
    INDEX(UNIQUE(FLATTEN({'1C'!$W$2:W200,'1C'!$C$2:C200})), ROW(A91)), 
    '1C'!C:O, 12, 0),
  INDEX(UNIQUE(FLATTEN({'1C'!$W$2:W200,'1C'!$C$2:C200})), ROW(A91))),
MATCH(INDEX(UNIQUE(FLATTEN({'1C'!$W$2:W200,'1C'!$C$2"&amp;":C200})), ROW(A91)), L$3:L200, 0)
),)"),"I/O modules")</f>
        <v>I/O modules</v>
      </c>
      <c r="B93" s="108">
        <f ca="1">IFERROR(
  VLOOKUP(A93, '1C'!C:E, 3, 0),)</f>
        <v>0</v>
      </c>
      <c r="C93" s="108">
        <f ca="1">IFERROR(
  VLOOKUP(A93, '1C'!C:Z, 24, 0),)</f>
        <v>0</v>
      </c>
      <c r="D93" s="80">
        <f ca="1">IFERROR(
  VLOOKUP(A93, '1C'!C:K, 9, 0),)</f>
        <v>0</v>
      </c>
      <c r="E93" s="81">
        <f ca="1">IFERROR(
  VLOOKUP(A93, '1C'!C:Q, 15, 0),)</f>
        <v>0</v>
      </c>
      <c r="F93" s="82">
        <f ca="1">IFERROR(
  VLOOKUP(A93, '1C'!C:S, 17, 0),)</f>
        <v>0</v>
      </c>
      <c r="G93" s="83">
        <f ca="1">IFERROR(
  VLOOKUP(A93, '1C'!C:U, 19, 0),)</f>
        <v>0</v>
      </c>
      <c r="H93" s="81">
        <f ca="1">IFERROR(
  VLOOKUP(A93, '1C'!C:G, 5, 0),)</f>
        <v>0</v>
      </c>
      <c r="I93" s="90">
        <f ca="1">IFERROR( VLOOKUP(A93, '1C'!C:I, 7, 0),)</f>
        <v>0</v>
      </c>
      <c r="J93" s="91">
        <f ca="1">IFERROR(
  VLOOKUP(A93, '1C'!C:H, 6, 0),)</f>
        <v>0</v>
      </c>
      <c r="K93" s="86"/>
      <c r="L93" s="92"/>
    </row>
    <row r="94" spans="1:12" ht="26.4">
      <c r="A94" s="88" t="str">
        <f ca="1">IFERROR(__xludf.DUMMYFUNCTION("iferror(IFERROR(
HYPERLINK(
  VLOOKUP(
    INDEX(UNIQUE(FLATTEN({'1C'!$W$2:W200,'1C'!$C$2:C200})), ROW(A92)), 
    '1C'!C:O, 12, 0),
  INDEX(UNIQUE(FLATTEN({'1C'!$W$2:W200,'1C'!$C$2:C200})), ROW(A92))),
MATCH(INDEX(UNIQUE(FLATTEN({'1C'!$W$2:W200,'1C'!$C$2"&amp;":C200})), ROW(A92)), L$3:L200, 0)
),)"),"OB-215")</f>
        <v>OB-215</v>
      </c>
      <c r="B94" s="108">
        <f ca="1">IFERROR(
  VLOOKUP(A94, '1C'!C:E, 3, 0),)</f>
        <v>45</v>
      </c>
      <c r="C94" s="108">
        <f ca="1">IFERROR(
  VLOOKUP(A94, '1C'!C:Z, 24, 0),)</f>
        <v>45</v>
      </c>
      <c r="D94" s="80" t="str">
        <f ca="1">IFERROR(
  VLOOKUP(A94, '1C'!C:K, 9, 0),)</f>
        <v>Single-channel I / O module, 4 operating modes, 5 types of sensors, Modbus (output executive relay), TTL - Modbus converter</v>
      </c>
      <c r="E94" s="81" t="str">
        <f ca="1">IFERROR(
  VLOOKUP(A94, '1C'!C:Q, 15, 0),)</f>
        <v>DIN</v>
      </c>
      <c r="F94" s="82">
        <f ca="1">IFERROR(
  VLOOKUP(A94, '1C'!C:S, 17, 0),)</f>
        <v>1</v>
      </c>
      <c r="G94" s="83" t="str">
        <f ca="1">IFERROR(
  VLOOKUP(A94, '1C'!C:U, 19, 0),)</f>
        <v>8А</v>
      </c>
      <c r="H94" s="81" t="str">
        <f ca="1">IFERROR(
  VLOOKUP(A94, '1C'!C:G, 5, 0),)</f>
        <v>NTOV215IO</v>
      </c>
      <c r="I94" s="90">
        <f ca="1">IFERROR( VLOOKUP(A94, '1C'!C:I, 7, 0),)</f>
        <v>0</v>
      </c>
      <c r="J94" s="91" t="str">
        <f ca="1">IFERROR(
  VLOOKUP(A94, '1C'!C:H, 6, 0),)</f>
        <v>8517 62 00 00</v>
      </c>
      <c r="K94" s="86"/>
      <c r="L94" s="92"/>
    </row>
    <row r="95" spans="1:12" ht="26.4">
      <c r="A95" s="88" t="str">
        <f ca="1">IFERROR(__xludf.DUMMYFUNCTION("iferror(IFERROR(
HYPERLINK(
  VLOOKUP(
    INDEX(UNIQUE(FLATTEN({'1C'!$W$2:W200,'1C'!$C$2:C200})), ROW(A93)), 
    '1C'!C:O, 12, 0),
  INDEX(UNIQUE(FLATTEN({'1C'!$W$2:W200,'1C'!$C$2:C200})), ROW(A93))),
MATCH(INDEX(UNIQUE(FLATTEN({'1C'!$W$2:W200,'1C'!$C$2"&amp;":C200})), ROW(A93)), L$3:L200, 0)
),)"),"OB-216")</f>
        <v>OB-216</v>
      </c>
      <c r="B95" s="108">
        <f ca="1">IFERROR(
  VLOOKUP(A95, '1C'!C:E, 3, 0),)</f>
        <v>85</v>
      </c>
      <c r="C95" s="108">
        <f ca="1">IFERROR(
  VLOOKUP(A95, '1C'!C:Z, 24, 0),)</f>
        <v>85</v>
      </c>
      <c r="D95" s="80" t="str">
        <f ca="1">IFERROR(
  VLOOKUP(A95, '1C'!C:K, 9, 0),)</f>
        <v>Single-channel I / O module, 4 operating modes, 5 types of sensors, Modbus (output signal 0-10, 4-20 mA), TTL - Modbus converter</v>
      </c>
      <c r="E95" s="81" t="str">
        <f ca="1">IFERROR(
  VLOOKUP(A95, '1C'!C:Q, 15, 0),)</f>
        <v>DIN</v>
      </c>
      <c r="F95" s="82">
        <f ca="1">IFERROR(
  VLOOKUP(A95, '1C'!C:S, 17, 0),)</f>
        <v>1</v>
      </c>
      <c r="G95" s="83" t="str">
        <f ca="1">IFERROR(
  VLOOKUP(A95, '1C'!C:U, 19, 0),)</f>
        <v>-</v>
      </c>
      <c r="H95" s="81" t="str">
        <f ca="1">IFERROR(
  VLOOKUP(A95, '1C'!C:G, 5, 0),)</f>
        <v>NTOV216IO</v>
      </c>
      <c r="I95" s="90">
        <f ca="1">IFERROR( VLOOKUP(A95, '1C'!C:I, 7, 0),)</f>
        <v>0</v>
      </c>
      <c r="J95" s="91" t="str">
        <f ca="1">IFERROR(
  VLOOKUP(A95, '1C'!C:H, 6, 0),)</f>
        <v>8517 62 00 00</v>
      </c>
      <c r="K95" s="86"/>
      <c r="L95" s="92"/>
    </row>
    <row r="96" spans="1:12" ht="14.4">
      <c r="A96" s="93" t="str">
        <f ca="1">IFERROR(__xludf.DUMMYFUNCTION("iferror(IFERROR(
HYPERLINK(
  VLOOKUP(
    INDEX(UNIQUE(FLATTEN({'1C'!$W$2:W200,'1C'!$C$2:C200})), ROW(A94)), 
    '1C'!C:O, 12, 0),
  INDEX(UNIQUE(FLATTEN({'1C'!$W$2:W200,'1C'!$C$2:C200})), ROW(A94))),
MATCH(INDEX(UNIQUE(FLATTEN({'1C'!$W$2:W200,'1C'!$C$2"&amp;":C200})), ROW(A94)), L$3:L200, 0)
),)"),"ModBus WEB access controllers")</f>
        <v>ModBus WEB access controllers</v>
      </c>
      <c r="B96" s="108">
        <f ca="1">IFERROR(
  VLOOKUP(A96, '1C'!C:E, 3, 0),)</f>
        <v>0</v>
      </c>
      <c r="C96" s="108">
        <f ca="1">IFERROR(
  VLOOKUP(A96, '1C'!C:Z, 24, 0),)</f>
        <v>0</v>
      </c>
      <c r="D96" s="80">
        <f ca="1">IFERROR(
  VLOOKUP(A96, '1C'!C:K, 9, 0),)</f>
        <v>0</v>
      </c>
      <c r="E96" s="81">
        <f ca="1">IFERROR(
  VLOOKUP(A96, '1C'!C:Q, 15, 0),)</f>
        <v>0</v>
      </c>
      <c r="F96" s="82">
        <f ca="1">IFERROR(
  VLOOKUP(A96, '1C'!C:S, 17, 0),)</f>
        <v>0</v>
      </c>
      <c r="G96" s="83">
        <f ca="1">IFERROR(
  VLOOKUP(A96, '1C'!C:U, 19, 0),)</f>
        <v>0</v>
      </c>
      <c r="H96" s="81">
        <f ca="1">IFERROR(
  VLOOKUP(A96, '1C'!C:G, 5, 0),)</f>
        <v>0</v>
      </c>
      <c r="I96" s="90">
        <f ca="1">IFERROR( VLOOKUP(A96, '1C'!C:I, 7, 0),)</f>
        <v>0</v>
      </c>
      <c r="J96" s="91">
        <f ca="1">IFERROR(
  VLOOKUP(A96, '1C'!C:H, 6, 0),)</f>
        <v>0</v>
      </c>
      <c r="K96" s="86"/>
      <c r="L96" s="92"/>
    </row>
    <row r="97" spans="1:12" ht="14.4">
      <c r="A97" s="88" t="str">
        <f ca="1">IFERROR(__xludf.DUMMYFUNCTION("iferror(IFERROR(
HYPERLINK(
  VLOOKUP(
    INDEX(UNIQUE(FLATTEN({'1C'!$W$2:W200,'1C'!$C$2:C200})), ROW(A95)), 
    '1C'!C:O, 12, 0),
  INDEX(UNIQUE(FLATTEN({'1C'!$W$2:W200,'1C'!$C$2:C200})), ROW(A95))),
MATCH(INDEX(UNIQUE(FLATTEN({'1C'!$W$2:W200,'1C'!$C$2"&amp;":C200})), ROW(A95)), L$3:L200, 0)
),)"),"EM-481")</f>
        <v>EM-481</v>
      </c>
      <c r="B97" s="108">
        <f ca="1">IFERROR(
  VLOOKUP(A97, '1C'!C:E, 3, 0),)</f>
        <v>298</v>
      </c>
      <c r="C97" s="108">
        <f ca="1">IFERROR(
  VLOOKUP(A97, '1C'!C:Z, 24, 0),)</f>
        <v>298</v>
      </c>
      <c r="D97" s="80" t="str">
        <f ca="1">IFERROR(
  VLOOKUP(A97, '1C'!C:K, 9, 0),)</f>
        <v>3G GSM module, Ethernet input (with free cloud monitoring service)</v>
      </c>
      <c r="E97" s="81" t="str">
        <f ca="1">IFERROR(
  VLOOKUP(A97, '1C'!C:Q, 15, 0),)</f>
        <v>DIN</v>
      </c>
      <c r="F97" s="82">
        <f ca="1">IFERROR(
  VLOOKUP(A97, '1C'!C:S, 17, 0),)</f>
        <v>2</v>
      </c>
      <c r="G97" s="83" t="str">
        <f ca="1">IFERROR(
  VLOOKUP(A97, '1C'!C:U, 19, 0),)</f>
        <v>-</v>
      </c>
      <c r="H97" s="81" t="str">
        <f ca="1">IFERROR(
  VLOOKUP(A97, '1C'!C:G, 5, 0),)</f>
        <v>NTEM48100</v>
      </c>
      <c r="I97" s="90">
        <f ca="1">IFERROR( VLOOKUP(A97, '1C'!C:I, 7, 0),)</f>
        <v>0</v>
      </c>
      <c r="J97" s="91" t="str">
        <f ca="1">IFERROR(
  VLOOKUP(A97, '1C'!C:H, 6, 0),)</f>
        <v>8517 62 00 00</v>
      </c>
      <c r="K97" s="86"/>
      <c r="L97" s="92"/>
    </row>
    <row r="98" spans="1:12" ht="14.4">
      <c r="A98" s="88" t="str">
        <f ca="1">IFERROR(__xludf.DUMMYFUNCTION("iferror(IFERROR(
HYPERLINK(
  VLOOKUP(
    INDEX(UNIQUE(FLATTEN({'1C'!$W$2:W200,'1C'!$C$2:C200})), ROW(A96)), 
    '1C'!C:O, 12, 0),
  INDEX(UNIQUE(FLATTEN({'1C'!$W$2:W200,'1C'!$C$2:C200})), ROW(A96))),
MATCH(INDEX(UNIQUE(FLATTEN({'1C'!$W$2:W200,'1C'!$C$2"&amp;":C200})), ROW(A96)), L$3:L200, 0)
),)"),"EM-486")</f>
        <v>EM-486</v>
      </c>
      <c r="B98" s="108">
        <f ca="1">IFERROR(
  VLOOKUP(A98, '1C'!C:E, 3, 0),)</f>
        <v>350</v>
      </c>
      <c r="C98" s="108">
        <f ca="1">IFERROR(
  VLOOKUP(A98, '1C'!C:Z, 24, 0),)</f>
        <v>350</v>
      </c>
      <c r="D98" s="80" t="str">
        <f ca="1">IFERROR(
  VLOOKUP(A98, '1C'!C:K, 9, 0),)</f>
        <v>2G GSM module, Ethernet input, 4 inputs, 3 relays (with free cloud monitoring service)</v>
      </c>
      <c r="E98" s="81" t="str">
        <f ca="1">IFERROR(
  VLOOKUP(A98, '1C'!C:Q, 15, 0),)</f>
        <v>DIN</v>
      </c>
      <c r="F98" s="82">
        <f ca="1">IFERROR(
  VLOOKUP(A98, '1C'!C:S, 17, 0),)</f>
        <v>9</v>
      </c>
      <c r="G98" s="83" t="str">
        <f ca="1">IFERROR(
  VLOOKUP(A98, '1C'!C:U, 19, 0),)</f>
        <v>-</v>
      </c>
      <c r="H98" s="81" t="str">
        <f ca="1">IFERROR(
  VLOOKUP(A98, '1C'!C:G, 5, 0),)</f>
        <v>NTEM48600</v>
      </c>
      <c r="I98" s="90" t="str">
        <f ca="1">IFERROR( VLOOKUP(A98, '1C'!C:I, 7, 0),)</f>
        <v>-</v>
      </c>
      <c r="J98" s="91" t="str">
        <f ca="1">IFERROR(
  VLOOKUP(A98, '1C'!C:H, 6, 0),)</f>
        <v>8517 62 00 00</v>
      </c>
      <c r="K98" s="86"/>
      <c r="L98" s="92"/>
    </row>
    <row r="99" spans="1:12" ht="14.4">
      <c r="A99" s="88" t="str">
        <f ca="1">IFERROR(__xludf.DUMMYFUNCTION("iferror(IFERROR(
HYPERLINK(
  VLOOKUP(
    INDEX(UNIQUE(FLATTEN({'1C'!$W$2:W200,'1C'!$C$2:C200})), ROW(A97)), 
    '1C'!C:O, 12, 0),
  INDEX(UNIQUE(FLATTEN({'1C'!$W$2:W200,'1C'!$C$2:C200})), ROW(A97))),
MATCH(INDEX(UNIQUE(FLATTEN({'1C'!$W$2:W200,'1C'!$C$2"&amp;":C200})), ROW(A97)), L$3:L200, 0)
),)"),"EM-482")</f>
        <v>EM-482</v>
      </c>
      <c r="B99" s="108">
        <f ca="1">IFERROR(
  VLOOKUP(A99, '1C'!C:E, 3, 0),)</f>
        <v>108</v>
      </c>
      <c r="C99" s="108">
        <f ca="1">IFERROR(
  VLOOKUP(A99, '1C'!C:Z, 24, 0),)</f>
        <v>108</v>
      </c>
      <c r="D99" s="80" t="str">
        <f ca="1">IFERROR(
  VLOOKUP(A99, '1C'!C:K, 9, 0),)</f>
        <v>Wi-Fi - RS-485 (with free cloud monitoring service, and remote antenna)</v>
      </c>
      <c r="E99" s="81" t="str">
        <f ca="1">IFERROR(
  VLOOKUP(A99, '1C'!C:Q, 15, 0),)</f>
        <v>DIN</v>
      </c>
      <c r="F99" s="82">
        <f ca="1">IFERROR(
  VLOOKUP(A99, '1C'!C:S, 17, 0),)</f>
        <v>1</v>
      </c>
      <c r="G99" s="83" t="str">
        <f ca="1">IFERROR(
  VLOOKUP(A99, '1C'!C:U, 19, 0),)</f>
        <v>-</v>
      </c>
      <c r="H99" s="81" t="str">
        <f ca="1">IFERROR(
  VLOOKUP(A99, '1C'!C:G, 5, 0),)</f>
        <v>NTEM48200</v>
      </c>
      <c r="I99" s="90">
        <f ca="1">IFERROR( VLOOKUP(A99, '1C'!C:I, 7, 0),)</f>
        <v>0</v>
      </c>
      <c r="J99" s="91" t="str">
        <f ca="1">IFERROR(
  VLOOKUP(A99, '1C'!C:H, 6, 0),)</f>
        <v>8517 62 00 00</v>
      </c>
      <c r="K99" s="86"/>
      <c r="L99" s="92"/>
    </row>
    <row r="100" spans="1:12" ht="14.4">
      <c r="A100" s="88" t="str">
        <f ca="1">IFERROR(__xludf.DUMMYFUNCTION("iferror(IFERROR(
HYPERLINK(
  VLOOKUP(
    INDEX(UNIQUE(FLATTEN({'1C'!$W$2:W200,'1C'!$C$2:C200})), ROW(A98)), 
    '1C'!C:O, 12, 0),
  INDEX(UNIQUE(FLATTEN({'1C'!$W$2:W200,'1C'!$C$2:C200})), ROW(A98))),
MATCH(INDEX(UNIQUE(FLATTEN({'1C'!$W$2:W200,'1C'!$C$2"&amp;":C200})), ROW(A98)), L$3:L200, 0)
),)"),"EM-482-1")</f>
        <v>EM-482-1</v>
      </c>
      <c r="B100" s="108">
        <f ca="1">IFERROR(
  VLOOKUP(A100, '1C'!C:E, 3, 0),)</f>
        <v>108</v>
      </c>
      <c r="C100" s="108">
        <f ca="1">IFERROR(
  VLOOKUP(A100, '1C'!C:Z, 24, 0),)</f>
        <v>108</v>
      </c>
      <c r="D100" s="80" t="str">
        <f ca="1">IFERROR(
  VLOOKUP(A100, '1C'!C:K, 9, 0),)</f>
        <v>Wi-Fi - RS-485 (with free cloud monitoring service, and remote antenna)</v>
      </c>
      <c r="E100" s="81" t="str">
        <f ca="1">IFERROR(
  VLOOKUP(A100, '1C'!C:Q, 15, 0),)</f>
        <v>DIN</v>
      </c>
      <c r="F100" s="82">
        <f ca="1">IFERROR(
  VLOOKUP(A100, '1C'!C:S, 17, 0),)</f>
        <v>1</v>
      </c>
      <c r="G100" s="83" t="str">
        <f ca="1">IFERROR(
  VLOOKUP(A100, '1C'!C:U, 19, 0),)</f>
        <v>-</v>
      </c>
      <c r="H100" s="81" t="str">
        <f ca="1">IFERROR(
  VLOOKUP(A100, '1C'!C:G, 5, 0),)</f>
        <v>NTEM48201</v>
      </c>
      <c r="I100" s="90">
        <f ca="1">IFERROR( VLOOKUP(A100, '1C'!C:I, 7, 0),)</f>
        <v>0</v>
      </c>
      <c r="J100" s="91" t="str">
        <f ca="1">IFERROR(
  VLOOKUP(A100, '1C'!C:H, 6, 0),)</f>
        <v>8517 62 00 00</v>
      </c>
      <c r="K100" s="86"/>
      <c r="L100" s="92"/>
    </row>
    <row r="101" spans="1:12" ht="14.4">
      <c r="A101" s="93" t="str">
        <f ca="1">IFERROR(__xludf.DUMMYFUNCTION("iferror(IFERROR(
HYPERLINK(
  VLOOKUP(
    INDEX(UNIQUE(FLATTEN({'1C'!$W$2:W200,'1C'!$C$2:C200})), ROW(A99)), 
    '1C'!C:O, 12, 0),
  INDEX(UNIQUE(FLATTEN({'1C'!$W$2:W200,'1C'!$C$2:C200})), ROW(A99))),
MATCH(INDEX(UNIQUE(FLATTEN({'1C'!$W$2:W200,'1C'!$C$2"&amp;":C200})), ROW(A99)), L$3:L200, 0)
),)"),"EM-483")</f>
        <v>EM-483</v>
      </c>
      <c r="B101" s="108">
        <f ca="1">IFERROR(
  VLOOKUP(A101, '1C'!C:E, 3, 0),)</f>
        <v>177</v>
      </c>
      <c r="C101" s="108">
        <f ca="1">IFERROR(
  VLOOKUP(A101, '1C'!C:Z, 24, 0),)</f>
        <v>177</v>
      </c>
      <c r="D101" s="80" t="str">
        <f ca="1">IFERROR(
  VLOOKUP(A101, '1C'!C:K, 9, 0),)</f>
        <v>Modbus RTU / ASCII interface converter (RS-485) - Modbus TCP (Ethernet)</v>
      </c>
      <c r="E101" s="81" t="str">
        <f ca="1">IFERROR(
  VLOOKUP(A101, '1C'!C:Q, 15, 0),)</f>
        <v>DIN</v>
      </c>
      <c r="F101" s="82">
        <f ca="1">IFERROR(
  VLOOKUP(A101, '1C'!C:S, 17, 0),)</f>
        <v>1</v>
      </c>
      <c r="G101" s="83" t="str">
        <f ca="1">IFERROR(
  VLOOKUP(A101, '1C'!C:U, 19, 0),)</f>
        <v>-</v>
      </c>
      <c r="H101" s="81" t="str">
        <f ca="1">IFERROR(
  VLOOKUP(A101, '1C'!C:G, 5, 0),)</f>
        <v>NTEM48300</v>
      </c>
      <c r="I101" s="90">
        <f ca="1">IFERROR( VLOOKUP(A101, '1C'!C:I, 7, 0),)</f>
        <v>0</v>
      </c>
      <c r="J101" s="91" t="str">
        <f ca="1">IFERROR(
  VLOOKUP(A101, '1C'!C:H, 6, 0),)</f>
        <v>8517 62 00 00</v>
      </c>
      <c r="K101" s="86"/>
      <c r="L101" s="92"/>
    </row>
    <row r="102" spans="1:12" ht="14.4">
      <c r="A102" s="88" t="str">
        <f ca="1">IFERROR(__xludf.DUMMYFUNCTION("iferror(IFERROR(
HYPERLINK(
  VLOOKUP(
    INDEX(UNIQUE(FLATTEN({'1C'!$W$2:W200,'1C'!$C$2:C200})), ROW(A100)), 
    '1C'!C:O, 12, 0),
  INDEX(UNIQUE(FLATTEN({'1C'!$W$2:W200,'1C'!$C$2:C200})), ROW(A100))),
MATCH(INDEX(UNIQUE(FLATTEN({'1C'!$W$2:W200,'1C'!$C"&amp;"$2:C200})), ROW(A100)), L$3:L200, 0)
),)"),"ET-485")</f>
        <v>ET-485</v>
      </c>
      <c r="B102" s="108">
        <f ca="1">IFERROR(
  VLOOKUP(A102, '1C'!C:E, 3, 0),)</f>
        <v>192</v>
      </c>
      <c r="C102" s="108">
        <f ca="1">IFERROR(
  VLOOKUP(A102, '1C'!C:Z, 24, 0),)</f>
        <v>192</v>
      </c>
      <c r="D102" s="80" t="str">
        <f ca="1">IFERROR(
  VLOOKUP(A102, '1C'!C:K, 9, 0),)</f>
        <v>Modbus RTU / ASCII interface converter (RS-485) - Modbus TCP (Ethernet)</v>
      </c>
      <c r="E102" s="81" t="str">
        <f ca="1">IFERROR(
  VLOOKUP(A102, '1C'!C:Q, 15, 0),)</f>
        <v>DIN</v>
      </c>
      <c r="F102" s="82">
        <f ca="1">IFERROR(
  VLOOKUP(A102, '1C'!C:S, 17, 0),)</f>
        <v>3</v>
      </c>
      <c r="G102" s="83" t="str">
        <f ca="1">IFERROR(
  VLOOKUP(A102, '1C'!C:U, 19, 0),)</f>
        <v>-</v>
      </c>
      <c r="H102" s="81" t="str">
        <f ca="1">IFERROR(
  VLOOKUP(A102, '1C'!C:G, 5, 0),)</f>
        <v>NTET4850A</v>
      </c>
      <c r="I102" s="90">
        <f ca="1">IFERROR( VLOOKUP(A102, '1C'!C:I, 7, 0),)</f>
        <v>0</v>
      </c>
      <c r="J102" s="91" t="str">
        <f ca="1">IFERROR(
  VLOOKUP(A102, '1C'!C:H, 6, 0),)</f>
        <v>8517 62 00 00</v>
      </c>
      <c r="K102" s="86"/>
      <c r="L102" s="92"/>
    </row>
    <row r="103" spans="1:12" ht="14.4">
      <c r="A103" s="93" t="str">
        <f ca="1">IFERROR(__xludf.DUMMYFUNCTION("iferror(IFERROR(
HYPERLINK(
  VLOOKUP(
    INDEX(UNIQUE(FLATTEN({'1C'!$W$2:W200,'1C'!$C$2:C200})), ROW(A101)), 
    '1C'!C:O, 12, 0),
  INDEX(UNIQUE(FLATTEN({'1C'!$W$2:W200,'1C'!$C$2:C200})), ROW(A101))),
MATCH(INDEX(UNIQUE(FLATTEN({'1C'!$W$2:W200,'1C'!$C"&amp;"$2:C200})), ROW(A101)), L$3:L200, 0)
),)"),"ET-485 24V")</f>
        <v>ET-485 24V</v>
      </c>
      <c r="B103" s="108">
        <f ca="1">IFERROR(
  VLOOKUP(A103, '1C'!C:E, 3, 0),)</f>
        <v>197</v>
      </c>
      <c r="C103" s="108">
        <f ca="1">IFERROR(
  VLOOKUP(A103, '1C'!C:Z, 24, 0),)</f>
        <v>197</v>
      </c>
      <c r="D103" s="80" t="str">
        <f ca="1">IFERROR(
  VLOOKUP(A103, '1C'!C:K, 9, 0),)</f>
        <v>Modbus RTU / ASCII interface converter (RS-485) - Modbus TCP (Ethernet)</v>
      </c>
      <c r="E103" s="81" t="str">
        <f ca="1">IFERROR(
  VLOOKUP(A103, '1C'!C:Q, 15, 0),)</f>
        <v>DIN</v>
      </c>
      <c r="F103" s="82">
        <f ca="1">IFERROR(
  VLOOKUP(A103, '1C'!C:S, 17, 0),)</f>
        <v>3</v>
      </c>
      <c r="G103" s="83" t="str">
        <f ca="1">IFERROR(
  VLOOKUP(A103, '1C'!C:U, 19, 0),)</f>
        <v>-</v>
      </c>
      <c r="H103" s="81" t="str">
        <f ca="1">IFERROR(
  VLOOKUP(A103, '1C'!C:G, 5, 0),)</f>
        <v>NTET4850D</v>
      </c>
      <c r="I103" s="90">
        <f ca="1">IFERROR( VLOOKUP(A103, '1C'!C:I, 7, 0),)</f>
        <v>0</v>
      </c>
      <c r="J103" s="91" t="str">
        <f ca="1">IFERROR(
  VLOOKUP(A103, '1C'!C:H, 6, 0),)</f>
        <v>8517 62 00 00</v>
      </c>
      <c r="K103" s="86"/>
      <c r="L103" s="92"/>
    </row>
    <row r="104" spans="1:12" ht="14.4">
      <c r="A104" s="93" t="str">
        <f ca="1">IFERROR(__xludf.DUMMYFUNCTION("iferror(IFERROR(
HYPERLINK(
  VLOOKUP(
    INDEX(UNIQUE(FLATTEN({'1C'!$W$2:W200,'1C'!$C$2:C200})), ROW(A102)), 
    '1C'!C:O, 12, 0),
  INDEX(UNIQUE(FLATTEN({'1C'!$W$2:W200,'1C'!$C$2:C200})), ROW(A102))),
MATCH(INDEX(UNIQUE(FLATTEN({'1C'!$W$2:W200,'1C'!$C"&amp;"$2:C200})), ROW(A102)), L$3:L200, 0)
),)"),"")</f>
        <v/>
      </c>
      <c r="B104" s="108">
        <f ca="1">IFERROR(
  VLOOKUP(A104, '1C'!C:E, 3, 0),)</f>
        <v>0</v>
      </c>
      <c r="C104" s="108">
        <f ca="1">IFERROR(
  VLOOKUP(A104, '1C'!C:Z, 24, 0),)</f>
        <v>0</v>
      </c>
      <c r="D104" s="80">
        <f ca="1">IFERROR(
  VLOOKUP(A104, '1C'!C:K, 9, 0),)</f>
        <v>0</v>
      </c>
      <c r="E104" s="81">
        <f ca="1">IFERROR(
  VLOOKUP(A104, '1C'!C:Q, 15, 0),)</f>
        <v>0</v>
      </c>
      <c r="F104" s="82">
        <f ca="1">IFERROR(
  VLOOKUP(A104, '1C'!C:S, 17, 0),)</f>
        <v>0</v>
      </c>
      <c r="G104" s="83">
        <f ca="1">IFERROR(
  VLOOKUP(A104, '1C'!C:U, 19, 0),)</f>
        <v>0</v>
      </c>
      <c r="H104" s="81">
        <f ca="1">IFERROR(
  VLOOKUP(A104, '1C'!C:G, 5, 0),)</f>
        <v>0</v>
      </c>
      <c r="I104" s="90">
        <f ca="1">IFERROR( VLOOKUP(A104, '1C'!C:I, 7, 0),)</f>
        <v>0</v>
      </c>
      <c r="J104" s="91">
        <f ca="1">IFERROR(
  VLOOKUP(A104, '1C'!C:H, 6, 0),)</f>
        <v>0</v>
      </c>
      <c r="K104" s="86"/>
      <c r="L104" s="92"/>
    </row>
    <row r="105" spans="1:12" ht="14.4">
      <c r="A105" s="93" t="str">
        <f ca="1">IFERROR(__xludf.DUMMYFUNCTION("iferror(IFERROR(
HYPERLINK(
  VLOOKUP(
    INDEX(UNIQUE(FLATTEN({'1C'!$W$2:W200,'1C'!$C$2:C200})), ROW(A103)), 
    '1C'!C:O, 12, 0),
  INDEX(UNIQUE(FLATTEN({'1C'!$W$2:W200,'1C'!$C$2:C200})), ROW(A103))),
MATCH(INDEX(UNIQUE(FLATTEN({'1C'!$W$2:W200,'1C'!$C"&amp;"$2:C200})), ROW(A103)), L$3:L200, 0)
),)"),"OPCB-221")</f>
        <v>OPCB-221</v>
      </c>
      <c r="B105" s="108">
        <f ca="1">IFERROR(
  VLOOKUP(A105, '1C'!C:E, 3, 0),)</f>
        <v>595</v>
      </c>
      <c r="C105" s="108">
        <f ca="1">IFERROR(
  VLOOKUP(A105, '1C'!C:Z, 24, 0),)</f>
        <v>595</v>
      </c>
      <c r="D105" s="80">
        <f ca="1">IFERROR(
  VLOOKUP(A105, '1C'!C:K, 9, 0),)</f>
        <v>0</v>
      </c>
      <c r="E105" s="81" t="str">
        <f ca="1">IFERROR(
  VLOOKUP(A105, '1C'!C:Q, 15, 0),)</f>
        <v>Other</v>
      </c>
      <c r="F105" s="82" t="str">
        <f ca="1">IFERROR(
  VLOOKUP(A105, '1C'!C:S, 17, 0),)</f>
        <v>-</v>
      </c>
      <c r="G105" s="83" t="str">
        <f ca="1">IFERROR(
  VLOOKUP(A105, '1C'!C:U, 19, 0),)</f>
        <v>-</v>
      </c>
      <c r="H105" s="81" t="str">
        <f ca="1">IFERROR(
  VLOOKUP(A105, '1C'!C:G, 5, 0),)</f>
        <v>-</v>
      </c>
      <c r="I105" s="90">
        <f ca="1">IFERROR( VLOOKUP(A105, '1C'!C:I, 7, 0),)</f>
        <v>0</v>
      </c>
      <c r="J105" s="91" t="str">
        <f ca="1">IFERROR(
  VLOOKUP(A105, '1C'!C:H, 6, 0),)</f>
        <v>8517 62 00 00</v>
      </c>
      <c r="K105" s="86"/>
      <c r="L105" s="92"/>
    </row>
    <row r="106" spans="1:12" ht="14.4">
      <c r="A106" s="93" t="str">
        <f ca="1">IFERROR(__xludf.DUMMYFUNCTION("iferror(IFERROR(
HYPERLINK(
  VLOOKUP(
    INDEX(UNIQUE(FLATTEN({'1C'!$W$2:W200,'1C'!$C$2:C200})), ROW(A104)), 
    '1C'!C:O, 12, 0),
  INDEX(UNIQUE(FLATTEN({'1C'!$W$2:W200,'1C'!$C$2:C200})), ROW(A104))),
MATCH(INDEX(UNIQUE(FLATTEN({'1C'!$W$2:W200,'1C'!$C"&amp;"$2:C200})), ROW(A104)), L$3:L200, 0)
),)"),"Automatic transfer switch unit")</f>
        <v>Automatic transfer switch unit</v>
      </c>
      <c r="B106" s="108">
        <f ca="1">IFERROR(
  VLOOKUP(A106, '1C'!C:E, 3, 0),)</f>
        <v>0</v>
      </c>
      <c r="C106" s="108">
        <f ca="1">IFERROR(
  VLOOKUP(A106, '1C'!C:Z, 24, 0),)</f>
        <v>0</v>
      </c>
      <c r="D106" s="80">
        <f ca="1">IFERROR(
  VLOOKUP(A106, '1C'!C:K, 9, 0),)</f>
        <v>0</v>
      </c>
      <c r="E106" s="81">
        <f ca="1">IFERROR(
  VLOOKUP(A106, '1C'!C:Q, 15, 0),)</f>
        <v>0</v>
      </c>
      <c r="F106" s="82">
        <f ca="1">IFERROR(
  VLOOKUP(A106, '1C'!C:S, 17, 0),)</f>
        <v>0</v>
      </c>
      <c r="G106" s="83">
        <f ca="1">IFERROR(
  VLOOKUP(A106, '1C'!C:U, 19, 0),)</f>
        <v>0</v>
      </c>
      <c r="H106" s="81">
        <f ca="1">IFERROR(
  VLOOKUP(A106, '1C'!C:G, 5, 0),)</f>
        <v>0</v>
      </c>
      <c r="I106" s="90">
        <f ca="1">IFERROR( VLOOKUP(A106, '1C'!C:I, 7, 0),)</f>
        <v>0</v>
      </c>
      <c r="J106" s="91">
        <f ca="1">IFERROR(
  VLOOKUP(A106, '1C'!C:H, 6, 0),)</f>
        <v>0</v>
      </c>
      <c r="K106" s="86"/>
      <c r="L106" s="92"/>
    </row>
    <row r="107" spans="1:12" ht="26.4">
      <c r="A107" s="88" t="str">
        <f ca="1">IFERROR(__xludf.DUMMYFUNCTION("iferror(IFERROR(
HYPERLINK(
  VLOOKUP(
    INDEX(UNIQUE(FLATTEN({'1C'!$W$2:W200,'1C'!$C$2:C200})), ROW(A105)), 
    '1C'!C:O, 12, 0),
  INDEX(UNIQUE(FLATTEN({'1C'!$W$2:W200,'1C'!$C$2:C200})), ROW(A105))),
MATCH(INDEX(UNIQUE(FLATTEN({'1C'!$W$2:W200,'1C'!$C"&amp;"$2:C200})), ROW(A105)), L$3:L200, 0)
),)"),"PEF-321avr")</f>
        <v>PEF-321avr</v>
      </c>
      <c r="B107" s="108">
        <f ca="1">IFERROR(
  VLOOKUP(A107, '1C'!C:E, 3, 0),)</f>
        <v>190</v>
      </c>
      <c r="C107" s="108">
        <f ca="1">IFERROR(
  VLOOKUP(A107, '1C'!C:Z, 24, 0),)</f>
        <v>190</v>
      </c>
      <c r="D107" s="80" t="str">
        <f ca="1">IFERROR(
  VLOOKUP(A107, '1C'!C:K, 9, 0),)</f>
        <v>Three-phase ATS unit (2 three-phase inputs, or 1 three-phase input and generator), Modbus, voltage indication at the inputs. Remote generator start, warm-up</v>
      </c>
      <c r="E107" s="81" t="str">
        <f ca="1">IFERROR(
  VLOOKUP(A107, '1C'!C:Q, 15, 0),)</f>
        <v>DIN</v>
      </c>
      <c r="F107" s="82">
        <f ca="1">IFERROR(
  VLOOKUP(A107, '1C'!C:S, 17, 0),)</f>
        <v>9</v>
      </c>
      <c r="G107" s="83" t="str">
        <f ca="1">IFERROR(
  VLOOKUP(A107, '1C'!C:U, 19, 0),)</f>
        <v>5А, Contactor</v>
      </c>
      <c r="H107" s="81" t="str">
        <f ca="1">IFERROR(
  VLOOKUP(A107, '1C'!C:G, 5, 0),)</f>
        <v>NTPEF321R</v>
      </c>
      <c r="I107" s="90">
        <f ca="1">IFERROR( VLOOKUP(A107, '1C'!C:I, 7, 0),)</f>
        <v>0</v>
      </c>
      <c r="J107" s="91" t="str">
        <f ca="1">IFERROR(
  VLOOKUP(A107, '1C'!C:H, 6, 0),)</f>
        <v>8536 49 00 90</v>
      </c>
      <c r="K107" s="86"/>
      <c r="L107" s="92"/>
    </row>
    <row r="108" spans="1:12" ht="14.4">
      <c r="A108" s="93" t="str">
        <f ca="1">IFERROR(__xludf.DUMMYFUNCTION("iferror(IFERROR(
HYPERLINK(
  VLOOKUP(
    INDEX(UNIQUE(FLATTEN({'1C'!$W$2:W200,'1C'!$C$2:C200})), ROW(A106)), 
    '1C'!C:O, 12, 0),
  INDEX(UNIQUE(FLATTEN({'1C'!$W$2:W200,'1C'!$C$2:C200})), ROW(A106))),
MATCH(INDEX(UNIQUE(FLATTEN({'1C'!$W$2:W200,'1C'!$C"&amp;"$2:C200})), ROW(A106)), L$3:L200, 0)
),)"),"Detachable current transformers")</f>
        <v>Detachable current transformers</v>
      </c>
      <c r="B108" s="108">
        <f ca="1">IFERROR(
  VLOOKUP(A108, '1C'!C:E, 3, 0),)</f>
        <v>0</v>
      </c>
      <c r="C108" s="108">
        <f ca="1">IFERROR(
  VLOOKUP(A108, '1C'!C:Z, 24, 0),)</f>
        <v>0</v>
      </c>
      <c r="D108" s="80">
        <f ca="1">IFERROR(
  VLOOKUP(A108, '1C'!C:K, 9, 0),)</f>
        <v>0</v>
      </c>
      <c r="E108" s="81">
        <f ca="1">IFERROR(
  VLOOKUP(A108, '1C'!C:Q, 15, 0),)</f>
        <v>0</v>
      </c>
      <c r="F108" s="82">
        <f ca="1">IFERROR(
  VLOOKUP(A108, '1C'!C:S, 17, 0),)</f>
        <v>0</v>
      </c>
      <c r="G108" s="83">
        <f ca="1">IFERROR(
  VLOOKUP(A108, '1C'!C:U, 19, 0),)</f>
        <v>0</v>
      </c>
      <c r="H108" s="81">
        <f ca="1">IFERROR(
  VLOOKUP(A108, '1C'!C:G, 5, 0),)</f>
        <v>0</v>
      </c>
      <c r="I108" s="90">
        <f ca="1">IFERROR( VLOOKUP(A108, '1C'!C:I, 7, 0),)</f>
        <v>0</v>
      </c>
      <c r="J108" s="91">
        <f ca="1">IFERROR(
  VLOOKUP(A108, '1C'!C:H, 6, 0),)</f>
        <v>0</v>
      </c>
      <c r="K108" s="86"/>
      <c r="L108" s="92"/>
    </row>
    <row r="109" spans="1:12" ht="14.4">
      <c r="A109" s="93" t="str">
        <f ca="1">IFERROR(__xludf.DUMMYFUNCTION("iferror(IFERROR(
HYPERLINK(
  VLOOKUP(
    INDEX(UNIQUE(FLATTEN({'1C'!$W$2:W200,'1C'!$C$2:C200})), ROW(A107)), 
    '1C'!C:O, 12, 0),
  INDEX(UNIQUE(FLATTEN({'1C'!$W$2:W200,'1C'!$C$2:C200})), ROW(A107))),
MATCH(INDEX(UNIQUE(FLATTEN({'1C'!$W$2:W200,'1C'!$C"&amp;"$2:C200})), ROW(A107)), L$3:L200, 0)
),)"),"SCT-T24 100/5")</f>
        <v>SCT-T24 100/5</v>
      </c>
      <c r="B109" s="108">
        <f ca="1">IFERROR(
  VLOOKUP(A109, '1C'!C:E, 3, 0),)</f>
        <v>38</v>
      </c>
      <c r="C109" s="108">
        <f ca="1">IFERROR(
  VLOOKUP(A109, '1C'!C:Z, 24, 0),)</f>
        <v>38</v>
      </c>
      <c r="D109" s="80" t="str">
        <f ca="1">IFERROR(
  VLOOKUP(A109, '1C'!C:K, 9, 0),)</f>
        <v>Detachable current transformer, 100/5</v>
      </c>
      <c r="E109" s="81" t="str">
        <f ca="1">IFERROR(
  VLOOKUP(A109, '1C'!C:Q, 15, 0),)</f>
        <v>Other</v>
      </c>
      <c r="F109" s="82" t="str">
        <f ca="1">IFERROR(
  VLOOKUP(A109, '1C'!C:S, 17, 0),)</f>
        <v>-</v>
      </c>
      <c r="G109" s="83" t="str">
        <f ca="1">IFERROR(
  VLOOKUP(A109, '1C'!C:U, 19, 0),)</f>
        <v>-</v>
      </c>
      <c r="H109" s="81" t="str">
        <f ca="1">IFERROR(
  VLOOKUP(A109, '1C'!C:G, 5, 0),)</f>
        <v>NTTT100X5</v>
      </c>
      <c r="I109" s="90">
        <f ca="1">IFERROR( VLOOKUP(A109, '1C'!C:I, 7, 0),)</f>
        <v>0</v>
      </c>
      <c r="J109" s="91" t="str">
        <f ca="1">IFERROR(
  VLOOKUP(A109, '1C'!C:H, 6, 0),)</f>
        <v>8504 33 00 90</v>
      </c>
      <c r="K109" s="86"/>
      <c r="L109" s="92"/>
    </row>
    <row r="110" spans="1:12" ht="14.4">
      <c r="A110" s="93" t="str">
        <f ca="1">IFERROR(__xludf.DUMMYFUNCTION("iferror(IFERROR(
HYPERLINK(
  VLOOKUP(
    INDEX(UNIQUE(FLATTEN({'1C'!$W$2:W200,'1C'!$C$2:C200})), ROW(A108)), 
    '1C'!C:O, 12, 0),
  INDEX(UNIQUE(FLATTEN({'1C'!$W$2:W200,'1C'!$C$2:C200})), ROW(A108))),
MATCH(INDEX(UNIQUE(FLATTEN({'1C'!$W$2:W200,'1C'!$C"&amp;"$2:C200})), ROW(A108)), L$3:L200, 0)
),)"),"SCT-T24 200/5")</f>
        <v>SCT-T24 200/5</v>
      </c>
      <c r="B110" s="108">
        <f ca="1">IFERROR(
  VLOOKUP(A110, '1C'!C:E, 3, 0),)</f>
        <v>44</v>
      </c>
      <c r="C110" s="108">
        <f ca="1">IFERROR(
  VLOOKUP(A110, '1C'!C:Z, 24, 0),)</f>
        <v>44</v>
      </c>
      <c r="D110" s="80" t="str">
        <f ca="1">IFERROR(
  VLOOKUP(A110, '1C'!C:K, 9, 0),)</f>
        <v>Detachable current transformer, 200/5</v>
      </c>
      <c r="E110" s="81" t="str">
        <f ca="1">IFERROR(
  VLOOKUP(A110, '1C'!C:Q, 15, 0),)</f>
        <v>Other</v>
      </c>
      <c r="F110" s="82" t="str">
        <f ca="1">IFERROR(
  VLOOKUP(A110, '1C'!C:S, 17, 0),)</f>
        <v>-</v>
      </c>
      <c r="G110" s="83" t="str">
        <f ca="1">IFERROR(
  VLOOKUP(A110, '1C'!C:U, 19, 0),)</f>
        <v>-</v>
      </c>
      <c r="H110" s="81" t="str">
        <f ca="1">IFERROR(
  VLOOKUP(A110, '1C'!C:G, 5, 0),)</f>
        <v>NTTT200X5</v>
      </c>
      <c r="I110" s="90">
        <f ca="1">IFERROR( VLOOKUP(A110, '1C'!C:I, 7, 0),)</f>
        <v>0</v>
      </c>
      <c r="J110" s="91" t="str">
        <f ca="1">IFERROR(
  VLOOKUP(A110, '1C'!C:H, 6, 0),)</f>
        <v>8504 33 00 90</v>
      </c>
      <c r="K110" s="86"/>
      <c r="L110" s="92"/>
    </row>
    <row r="111" spans="1:12" ht="14.4">
      <c r="A111" s="93" t="str">
        <f ca="1">IFERROR(__xludf.DUMMYFUNCTION("iferror(IFERROR(
HYPERLINK(
  VLOOKUP(
    INDEX(UNIQUE(FLATTEN({'1C'!$W$2:W200,'1C'!$C$2:C200})), ROW(A109)), 
    '1C'!C:O, 12, 0),
  INDEX(UNIQUE(FLATTEN({'1C'!$W$2:W200,'1C'!$C$2:C200})), ROW(A109))),
MATCH(INDEX(UNIQUE(FLATTEN({'1C'!$W$2:W200,'1C'!$C"&amp;"$2:C200})), ROW(A109)), L$3:L200, 0)
),)"),"SCT-T36 400/5")</f>
        <v>SCT-T36 400/5</v>
      </c>
      <c r="B111" s="108">
        <f ca="1">IFERROR(
  VLOOKUP(A111, '1C'!C:E, 3, 0),)</f>
        <v>50</v>
      </c>
      <c r="C111" s="108">
        <f ca="1">IFERROR(
  VLOOKUP(A111, '1C'!C:Z, 24, 0),)</f>
        <v>50</v>
      </c>
      <c r="D111" s="80" t="str">
        <f ca="1">IFERROR(
  VLOOKUP(A111, '1C'!C:K, 9, 0),)</f>
        <v>Detachable current transformer, 400/5</v>
      </c>
      <c r="E111" s="81" t="str">
        <f ca="1">IFERROR(
  VLOOKUP(A111, '1C'!C:Q, 15, 0),)</f>
        <v>Other</v>
      </c>
      <c r="F111" s="82" t="str">
        <f ca="1">IFERROR(
  VLOOKUP(A111, '1C'!C:S, 17, 0),)</f>
        <v>-</v>
      </c>
      <c r="G111" s="83" t="str">
        <f ca="1">IFERROR(
  VLOOKUP(A111, '1C'!C:U, 19, 0),)</f>
        <v>-</v>
      </c>
      <c r="H111" s="81" t="str">
        <f ca="1">IFERROR(
  VLOOKUP(A111, '1C'!C:G, 5, 0),)</f>
        <v>NTTT400X5</v>
      </c>
      <c r="I111" s="90">
        <f ca="1">IFERROR( VLOOKUP(A111, '1C'!C:I, 7, 0),)</f>
        <v>0</v>
      </c>
      <c r="J111" s="91" t="str">
        <f ca="1">IFERROR(
  VLOOKUP(A111, '1C'!C:H, 6, 0),)</f>
        <v>8504 33 00 90</v>
      </c>
      <c r="K111" s="86"/>
      <c r="L111" s="92"/>
    </row>
    <row r="112" spans="1:12" ht="14.4">
      <c r="A112" s="93" t="str">
        <f ca="1">IFERROR(__xludf.DUMMYFUNCTION("iferror(IFERROR(
HYPERLINK(
  VLOOKUP(
    INDEX(UNIQUE(FLATTEN({'1C'!$W$2:W200,'1C'!$C$2:C200})), ROW(A110)), 
    '1C'!C:O, 12, 0),
  INDEX(UNIQUE(FLATTEN({'1C'!$W$2:W200,'1C'!$C$2:C200})), ROW(A110))),
MATCH(INDEX(UNIQUE(FLATTEN({'1C'!$W$2:W200,'1C'!$C"&amp;"$2:C200})), ROW(A110)), L$3:L200, 0)
),)"),"SCT-TXX 600/5")</f>
        <v>SCT-TXX 600/5</v>
      </c>
      <c r="B112" s="108">
        <f ca="1">IFERROR(
  VLOOKUP(A112, '1C'!C:E, 3, 0),)</f>
        <v>62</v>
      </c>
      <c r="C112" s="108">
        <f ca="1">IFERROR(
  VLOOKUP(A112, '1C'!C:Z, 24, 0),)</f>
        <v>62</v>
      </c>
      <c r="D112" s="80" t="str">
        <f ca="1">IFERROR(
  VLOOKUP(A112, '1C'!C:K, 9, 0),)</f>
        <v>Detachable current transformer, 600/5</v>
      </c>
      <c r="E112" s="81" t="str">
        <f ca="1">IFERROR(
  VLOOKUP(A112, '1C'!C:Q, 15, 0),)</f>
        <v>Other</v>
      </c>
      <c r="F112" s="82" t="str">
        <f ca="1">IFERROR(
  VLOOKUP(A112, '1C'!C:S, 17, 0),)</f>
        <v>-</v>
      </c>
      <c r="G112" s="83" t="str">
        <f ca="1">IFERROR(
  VLOOKUP(A112, '1C'!C:U, 19, 0),)</f>
        <v>-</v>
      </c>
      <c r="H112" s="81" t="str">
        <f ca="1">IFERROR(
  VLOOKUP(A112, '1C'!C:G, 5, 0),)</f>
        <v>NTTT600X5</v>
      </c>
      <c r="I112" s="90">
        <f ca="1">IFERROR( VLOOKUP(A112, '1C'!C:I, 7, 0),)</f>
        <v>0</v>
      </c>
      <c r="J112" s="91" t="str">
        <f ca="1">IFERROR(
  VLOOKUP(A112, '1C'!C:H, 6, 0),)</f>
        <v>8504 33 00 90</v>
      </c>
      <c r="K112" s="86"/>
      <c r="L112" s="92"/>
    </row>
    <row r="113" spans="1:12" ht="14.4">
      <c r="A113" s="93" t="str">
        <f ca="1">IFERROR(__xludf.DUMMYFUNCTION("iferror(IFERROR(
HYPERLINK(
  VLOOKUP(
    INDEX(UNIQUE(FLATTEN({'1C'!$W$2:W200,'1C'!$C$2:C200})), ROW(A111)), 
    '1C'!C:O, 12, 0),
  INDEX(UNIQUE(FLATTEN({'1C'!$W$2:W200,'1C'!$C$2:C200})), ROW(A111))),
MATCH(INDEX(UNIQUE(FLATTEN({'1C'!$W$2:W200,'1C'!$C"&amp;"$2:C200})), ROW(A111)), L$3:L200, 0)
),)"),"SCT-T50 800/5")</f>
        <v>SCT-T50 800/5</v>
      </c>
      <c r="B113" s="108">
        <f ca="1">IFERROR(
  VLOOKUP(A113, '1C'!C:E, 3, 0),)</f>
        <v>88</v>
      </c>
      <c r="C113" s="108">
        <f ca="1">IFERROR(
  VLOOKUP(A113, '1C'!C:Z, 24, 0),)</f>
        <v>88</v>
      </c>
      <c r="D113" s="80" t="str">
        <f ca="1">IFERROR(
  VLOOKUP(A113, '1C'!C:K, 9, 0),)</f>
        <v>Detachable current transformer, 800/5</v>
      </c>
      <c r="E113" s="81" t="str">
        <f ca="1">IFERROR(
  VLOOKUP(A113, '1C'!C:Q, 15, 0),)</f>
        <v>Other</v>
      </c>
      <c r="F113" s="82" t="str">
        <f ca="1">IFERROR(
  VLOOKUP(A113, '1C'!C:S, 17, 0),)</f>
        <v>-</v>
      </c>
      <c r="G113" s="83" t="str">
        <f ca="1">IFERROR(
  VLOOKUP(A113, '1C'!C:U, 19, 0),)</f>
        <v>-</v>
      </c>
      <c r="H113" s="81" t="str">
        <f ca="1">IFERROR(
  VLOOKUP(A113, '1C'!C:G, 5, 0),)</f>
        <v>NTTT800X5</v>
      </c>
      <c r="I113" s="90">
        <f ca="1">IFERROR( VLOOKUP(A113, '1C'!C:I, 7, 0),)</f>
        <v>0</v>
      </c>
      <c r="J113" s="91" t="str">
        <f ca="1">IFERROR(
  VLOOKUP(A113, '1C'!C:H, 6, 0),)</f>
        <v>8504 33 00 90</v>
      </c>
      <c r="K113" s="86"/>
      <c r="L113" s="92"/>
    </row>
    <row r="114" spans="1:12" ht="14.4">
      <c r="A114" s="93" t="str">
        <f ca="1">IFERROR(__xludf.DUMMYFUNCTION("iferror(IFERROR(
HYPERLINK(
  VLOOKUP(
    INDEX(UNIQUE(FLATTEN({'1C'!$W$2:W200,'1C'!$C$2:C200})), ROW(A112)), 
    '1C'!C:O, 12, 0),
  INDEX(UNIQUE(FLATTEN({'1C'!$W$2:W200,'1C'!$C$2:C200})), ROW(A112))),
MATCH(INDEX(UNIQUE(FLATTEN({'1C'!$W$2:W200,'1C'!$C"&amp;"$2:C200})), ROW(A112)), L$3:L200, 0)
),)"),"Overvoltage limiters (OPN)")</f>
        <v>Overvoltage limiters (OPN)</v>
      </c>
      <c r="B114" s="108">
        <f ca="1">IFERROR(
  VLOOKUP(A114, '1C'!C:E, 3, 0),)</f>
        <v>0</v>
      </c>
      <c r="C114" s="108">
        <f ca="1">IFERROR(
  VLOOKUP(A114, '1C'!C:Z, 24, 0),)</f>
        <v>0</v>
      </c>
      <c r="D114" s="80">
        <f ca="1">IFERROR(
  VLOOKUP(A114, '1C'!C:K, 9, 0),)</f>
        <v>0</v>
      </c>
      <c r="E114" s="81">
        <f ca="1">IFERROR(
  VLOOKUP(A114, '1C'!C:Q, 15, 0),)</f>
        <v>0</v>
      </c>
      <c r="F114" s="82">
        <f ca="1">IFERROR(
  VLOOKUP(A114, '1C'!C:S, 17, 0),)</f>
        <v>0</v>
      </c>
      <c r="G114" s="83">
        <f ca="1">IFERROR(
  VLOOKUP(A114, '1C'!C:U, 19, 0),)</f>
        <v>0</v>
      </c>
      <c r="H114" s="81">
        <f ca="1">IFERROR(
  VLOOKUP(A114, '1C'!C:G, 5, 0),)</f>
        <v>0</v>
      </c>
      <c r="I114" s="90">
        <f ca="1">IFERROR( VLOOKUP(A114, '1C'!C:I, 7, 0),)</f>
        <v>0</v>
      </c>
      <c r="J114" s="91">
        <f ca="1">IFERROR(
  VLOOKUP(A114, '1C'!C:H, 6, 0),)</f>
        <v>0</v>
      </c>
      <c r="K114" s="86"/>
      <c r="L114" s="92"/>
    </row>
    <row r="115" spans="1:12" ht="14.4">
      <c r="A115" s="93" t="str">
        <f ca="1">IFERROR(__xludf.DUMMYFUNCTION("iferror(IFERROR(
HYPERLINK(
  VLOOKUP(
    INDEX(UNIQUE(FLATTEN({'1C'!$W$2:W200,'1C'!$C$2:C200})), ROW(A113)), 
    '1C'!C:O, 12, 0),
  INDEX(UNIQUE(FLATTEN({'1C'!$W$2:W200,'1C'!$C$2:C200})), ROW(A113))),
MATCH(INDEX(UNIQUE(FLATTEN({'1C'!$W$2:W200,'1C'!$C"&amp;"$2:C200})), ROW(A113)), L$3:L200, 0)
),)"),"OPN-M 10KA")</f>
        <v>OPN-M 10KA</v>
      </c>
      <c r="B115" s="108">
        <f ca="1">IFERROR(
  VLOOKUP(A115, '1C'!C:E, 3, 0),)</f>
        <v>12</v>
      </c>
      <c r="C115" s="108">
        <f ca="1">IFERROR(
  VLOOKUP(A115, '1C'!C:Z, 24, 0),)</f>
        <v>12</v>
      </c>
      <c r="D115" s="80" t="str">
        <f ca="1">IFERROR(
  VLOOKUP(A115, '1C'!C:K, 9, 0),)</f>
        <v>1 380V module; In: 10kA, replaceable cartridge</v>
      </c>
      <c r="E115" s="81" t="str">
        <f ca="1">IFERROR(
  VLOOKUP(A115, '1C'!C:Q, 15, 0),)</f>
        <v>Other</v>
      </c>
      <c r="F115" s="82" t="str">
        <f ca="1">IFERROR(
  VLOOKUP(A115, '1C'!C:S, 17, 0),)</f>
        <v>-</v>
      </c>
      <c r="G115" s="83" t="str">
        <f ca="1">IFERROR(
  VLOOKUP(A115, '1C'!C:U, 19, 0),)</f>
        <v>-</v>
      </c>
      <c r="H115" s="81" t="str">
        <f ca="1">IFERROR(
  VLOOKUP(A115, '1C'!C:G, 5, 0),)</f>
        <v>NTOPNC103</v>
      </c>
      <c r="I115" s="90">
        <f ca="1">IFERROR( VLOOKUP(A115, '1C'!C:I, 7, 0),)</f>
        <v>0</v>
      </c>
      <c r="J115" s="91" t="str">
        <f ca="1">IFERROR(
  VLOOKUP(A115, '1C'!C:H, 6, 0),)</f>
        <v>8536 30 90 00</v>
      </c>
      <c r="K115" s="86"/>
      <c r="L115" s="92"/>
    </row>
    <row r="116" spans="1:12" ht="14.4">
      <c r="A116" s="93" t="str">
        <f ca="1">IFERROR(__xludf.DUMMYFUNCTION("iferror(IFERROR(
HYPERLINK(
  VLOOKUP(
    INDEX(UNIQUE(FLATTEN({'1C'!$W$2:W200,'1C'!$C$2:C200})), ROW(A114)), 
    '1C'!C:O, 12, 0),
  INDEX(UNIQUE(FLATTEN({'1C'!$W$2:W200,'1C'!$C$2:C200})), ROW(A114))),
MATCH(INDEX(UNIQUE(FLATTEN({'1C'!$W$2:W200,'1C'!$C"&amp;"$2:C200})), ROW(A114)), L$3:L200, 0)
),)"),"OPN-M 30KA")</f>
        <v>OPN-M 30KA</v>
      </c>
      <c r="B116" s="108">
        <f ca="1">IFERROR(
  VLOOKUP(A116, '1C'!C:E, 3, 0),)</f>
        <v>12</v>
      </c>
      <c r="C116" s="108">
        <f ca="1">IFERROR(
  VLOOKUP(A116, '1C'!C:Z, 24, 0),)</f>
        <v>12</v>
      </c>
      <c r="D116" s="80" t="str">
        <f ca="1">IFERROR(
  VLOOKUP(A116, '1C'!C:K, 9, 0),)</f>
        <v>1 380V module; In: 30kA, replaceable cartridge</v>
      </c>
      <c r="E116" s="81" t="str">
        <f ca="1">IFERROR(
  VLOOKUP(A116, '1C'!C:Q, 15, 0),)</f>
        <v>Other</v>
      </c>
      <c r="F116" s="82" t="str">
        <f ca="1">IFERROR(
  VLOOKUP(A116, '1C'!C:S, 17, 0),)</f>
        <v>-</v>
      </c>
      <c r="G116" s="83" t="str">
        <f ca="1">IFERROR(
  VLOOKUP(A116, '1C'!C:U, 19, 0),)</f>
        <v>-</v>
      </c>
      <c r="H116" s="81" t="str">
        <f ca="1">IFERROR(
  VLOOKUP(A116, '1C'!C:G, 5, 0),)</f>
        <v>NTOPNC303</v>
      </c>
      <c r="I116" s="90">
        <f ca="1">IFERROR( VLOOKUP(A116, '1C'!C:I, 7, 0),)</f>
        <v>0</v>
      </c>
      <c r="J116" s="91" t="str">
        <f ca="1">IFERROR(
  VLOOKUP(A116, '1C'!C:H, 6, 0),)</f>
        <v>8536 30 90 00</v>
      </c>
      <c r="K116" s="86"/>
      <c r="L116" s="92"/>
    </row>
    <row r="117" spans="1:12" ht="14.4">
      <c r="A117" s="93" t="str">
        <f ca="1">IFERROR(__xludf.DUMMYFUNCTION("iferror(IFERROR(
HYPERLINK(
  VLOOKUP(
    INDEX(UNIQUE(FLATTEN({'1C'!$W$2:W200,'1C'!$C$2:C200})), ROW(A115)), 
    '1C'!C:O, 12, 0),
  INDEX(UNIQUE(FLATTEN({'1C'!$W$2:W200,'1C'!$C$2:C200})), ROW(A115))),
MATCH(INDEX(UNIQUE(FLATTEN({'1C'!$W$2:W200,'1C'!$C"&amp;"$2:C200})), ROW(A115)), L$3:L200, 0)
),)"),"N-PE")</f>
        <v>N-PE</v>
      </c>
      <c r="B117" s="108">
        <f ca="1">IFERROR(
  VLOOKUP(A117, '1C'!C:E, 3, 0),)</f>
        <v>16</v>
      </c>
      <c r="C117" s="108">
        <f ca="1">IFERROR(
  VLOOKUP(A117, '1C'!C:Z, 24, 0),)</f>
        <v>16</v>
      </c>
      <c r="D117" s="80" t="str">
        <f ca="1">IFERROR(
  VLOOKUP(A117, '1C'!C:K, 9, 0),)</f>
        <v>1 220V module; In: 20kA, replaceable cartridge N-PE</v>
      </c>
      <c r="E117" s="81" t="str">
        <f ca="1">IFERROR(
  VLOOKUP(A117, '1C'!C:Q, 15, 0),)</f>
        <v>Other</v>
      </c>
      <c r="F117" s="82" t="str">
        <f ca="1">IFERROR(
  VLOOKUP(A117, '1C'!C:S, 17, 0),)</f>
        <v>-</v>
      </c>
      <c r="G117" s="83" t="str">
        <f ca="1">IFERROR(
  VLOOKUP(A117, '1C'!C:U, 19, 0),)</f>
        <v>-</v>
      </c>
      <c r="H117" s="81" t="str">
        <f ca="1">IFERROR(
  VLOOKUP(A117, '1C'!C:G, 5, 0),)</f>
        <v>NTOPNCNPE</v>
      </c>
      <c r="I117" s="90">
        <f ca="1">IFERROR( VLOOKUP(A117, '1C'!C:I, 7, 0),)</f>
        <v>0</v>
      </c>
      <c r="J117" s="91" t="str">
        <f ca="1">IFERROR(
  VLOOKUP(A117, '1C'!C:H, 6, 0),)</f>
        <v>8536 30 90 00</v>
      </c>
      <c r="K117" s="86"/>
      <c r="L117" s="92"/>
    </row>
    <row r="118" spans="1:12" ht="14.4">
      <c r="A118" s="93" t="str">
        <f ca="1">IFERROR(__xludf.DUMMYFUNCTION("iferror(IFERROR(
HYPERLINK(
  VLOOKUP(
    INDEX(UNIQUE(FLATTEN({'1C'!$W$2:W200,'1C'!$C$2:C200})), ROW(A116)), 
    '1C'!C:O, 12, 0),
  INDEX(UNIQUE(FLATTEN({'1C'!$W$2:W200,'1C'!$C$2:C200})), ROW(A116))),
MATCH(INDEX(UNIQUE(FLATTEN({'1C'!$W$2:W200,'1C'!$C"&amp;"$2:C200})), ROW(A116)), L$3:L200, 0)
),)"),"OPN-M (1S) 10KA")</f>
        <v>OPN-M (1S) 10KA</v>
      </c>
      <c r="B118" s="108">
        <f ca="1">IFERROR(
  VLOOKUP(A118, '1C'!C:E, 3, 0),)</f>
        <v>14</v>
      </c>
      <c r="C118" s="108">
        <f ca="1">IFERROR(
  VLOOKUP(A118, '1C'!C:Z, 24, 0),)</f>
        <v>14</v>
      </c>
      <c r="D118" s="80" t="str">
        <f ca="1">IFERROR(
  VLOOKUP(A118, '1C'!C:K, 9, 0),)</f>
        <v>1 380V module; In: 10kA</v>
      </c>
      <c r="E118" s="81" t="str">
        <f ca="1">IFERROR(
  VLOOKUP(A118, '1C'!C:Q, 15, 0),)</f>
        <v>DIN</v>
      </c>
      <c r="F118" s="82">
        <f ca="1">IFERROR(
  VLOOKUP(A118, '1C'!C:S, 17, 0),)</f>
        <v>1</v>
      </c>
      <c r="G118" s="83" t="str">
        <f ca="1">IFERROR(
  VLOOKUP(A118, '1C'!C:U, 19, 0),)</f>
        <v>-</v>
      </c>
      <c r="H118" s="81" t="str">
        <f ca="1">IFERROR(
  VLOOKUP(A118, '1C'!C:G, 5, 0),)</f>
        <v>NTOPN1S10</v>
      </c>
      <c r="I118" s="90">
        <f ca="1">IFERROR( VLOOKUP(A118, '1C'!C:I, 7, 0),)</f>
        <v>0</v>
      </c>
      <c r="J118" s="91" t="str">
        <f ca="1">IFERROR(
  VLOOKUP(A118, '1C'!C:H, 6, 0),)</f>
        <v>8536 30 90 00</v>
      </c>
      <c r="K118" s="86"/>
      <c r="L118" s="92"/>
    </row>
    <row r="119" spans="1:12" ht="14.4">
      <c r="A119" s="93" t="str">
        <f ca="1">IFERROR(__xludf.DUMMYFUNCTION("iferror(IFERROR(
HYPERLINK(
  VLOOKUP(
    INDEX(UNIQUE(FLATTEN({'1C'!$W$2:W200,'1C'!$C$2:C200})), ROW(A117)), 
    '1C'!C:O, 12, 0),
  INDEX(UNIQUE(FLATTEN({'1C'!$W$2:W200,'1C'!$C$2:C200})), ROW(A117))),
MATCH(INDEX(UNIQUE(FLATTEN({'1C'!$W$2:W200,'1C'!$C"&amp;"$2:C200})), ROW(A117)), L$3:L200, 0)
),)"),"OPN-M (1S) 30KA")</f>
        <v>OPN-M (1S) 30KA</v>
      </c>
      <c r="B119" s="108">
        <f ca="1">IFERROR(
  VLOOKUP(A119, '1C'!C:E, 3, 0),)</f>
        <v>14</v>
      </c>
      <c r="C119" s="108">
        <f ca="1">IFERROR(
  VLOOKUP(A119, '1C'!C:Z, 24, 0),)</f>
        <v>14</v>
      </c>
      <c r="D119" s="80" t="str">
        <f ca="1">IFERROR(
  VLOOKUP(A119, '1C'!C:K, 9, 0),)</f>
        <v>1 380V module; In: 30kA</v>
      </c>
      <c r="E119" s="81" t="str">
        <f ca="1">IFERROR(
  VLOOKUP(A119, '1C'!C:Q, 15, 0),)</f>
        <v>DIN</v>
      </c>
      <c r="F119" s="82">
        <f ca="1">IFERROR(
  VLOOKUP(A119, '1C'!C:S, 17, 0),)</f>
        <v>1</v>
      </c>
      <c r="G119" s="83" t="str">
        <f ca="1">IFERROR(
  VLOOKUP(A119, '1C'!C:U, 19, 0),)</f>
        <v>-</v>
      </c>
      <c r="H119" s="81" t="str">
        <f ca="1">IFERROR(
  VLOOKUP(A119, '1C'!C:G, 5, 0),)</f>
        <v>NTOPN1S30</v>
      </c>
      <c r="I119" s="90">
        <f ca="1">IFERROR( VLOOKUP(A119, '1C'!C:I, 7, 0),)</f>
        <v>0</v>
      </c>
      <c r="J119" s="91" t="str">
        <f ca="1">IFERROR(
  VLOOKUP(A119, '1C'!C:H, 6, 0),)</f>
        <v>8536 30 90 00</v>
      </c>
      <c r="K119" s="86"/>
      <c r="L119" s="92"/>
    </row>
    <row r="120" spans="1:12" ht="14.4">
      <c r="A120" s="93" t="str">
        <f ca="1">IFERROR(__xludf.DUMMYFUNCTION("iferror(IFERROR(
HYPERLINK(
  VLOOKUP(
    INDEX(UNIQUE(FLATTEN({'1C'!$W$2:W200,'1C'!$C$2:C200})), ROW(A118)), 
    '1C'!C:O, 12, 0),
  INDEX(UNIQUE(FLATTEN({'1C'!$W$2:W200,'1C'!$C$2:C200})), ROW(A118))),
MATCH(INDEX(UNIQUE(FLATTEN({'1C'!$W$2:W200,'1C'!$C"&amp;"$2:C200})), ROW(A118)), L$3:L200, 0)
),)"),"OPN-M (2S) 20KA")</f>
        <v>OPN-M (2S) 20KA</v>
      </c>
      <c r="B120" s="108">
        <f ca="1">IFERROR(
  VLOOKUP(A120, '1C'!C:E, 3, 0),)</f>
        <v>25</v>
      </c>
      <c r="C120" s="108">
        <f ca="1">IFERROR(
  VLOOKUP(A120, '1C'!C:Z, 24, 0),)</f>
        <v>25</v>
      </c>
      <c r="D120" s="80" t="str">
        <f ca="1">IFERROR(
  VLOOKUP(A120, '1C'!C:K, 9, 0),)</f>
        <v>2 220V modules; In: 20kA</v>
      </c>
      <c r="E120" s="81" t="str">
        <f ca="1">IFERROR(
  VLOOKUP(A120, '1C'!C:Q, 15, 0),)</f>
        <v>DIN</v>
      </c>
      <c r="F120" s="82">
        <f ca="1">IFERROR(
  VLOOKUP(A120, '1C'!C:S, 17, 0),)</f>
        <v>2</v>
      </c>
      <c r="G120" s="83" t="str">
        <f ca="1">IFERROR(
  VLOOKUP(A120, '1C'!C:U, 19, 0),)</f>
        <v>-</v>
      </c>
      <c r="H120" s="81" t="str">
        <f ca="1">IFERROR(
  VLOOKUP(A120, '1C'!C:G, 5, 0),)</f>
        <v>NTOPN2S20</v>
      </c>
      <c r="I120" s="90">
        <f ca="1">IFERROR( VLOOKUP(A120, '1C'!C:I, 7, 0),)</f>
        <v>0</v>
      </c>
      <c r="J120" s="91" t="str">
        <f ca="1">IFERROR(
  VLOOKUP(A120, '1C'!C:H, 6, 0),)</f>
        <v>8536 30 90 00</v>
      </c>
      <c r="K120" s="86"/>
      <c r="L120" s="92"/>
    </row>
    <row r="121" spans="1:12" ht="14.4">
      <c r="A121" s="93" t="str">
        <f ca="1">IFERROR(__xludf.DUMMYFUNCTION("iferror(IFERROR(
HYPERLINK(
  VLOOKUP(
    INDEX(UNIQUE(FLATTEN({'1C'!$W$2:W200,'1C'!$C$2:C200})), ROW(A119)), 
    '1C'!C:O, 12, 0),
  INDEX(UNIQUE(FLATTEN({'1C'!$W$2:W200,'1C'!$C$2:C200})), ROW(A119))),
MATCH(INDEX(UNIQUE(FLATTEN({'1C'!$W$2:W200,'1C'!$C"&amp;"$2:C200})), ROW(A119)), L$3:L200, 0)
),)"),"OPN-M (3S) 10KA")</f>
        <v>OPN-M (3S) 10KA</v>
      </c>
      <c r="B121" s="108">
        <f ca="1">IFERROR(
  VLOOKUP(A121, '1C'!C:E, 3, 0),)</f>
        <v>31</v>
      </c>
      <c r="C121" s="108">
        <f ca="1">IFERROR(
  VLOOKUP(A121, '1C'!C:Z, 24, 0),)</f>
        <v>31</v>
      </c>
      <c r="D121" s="80" t="str">
        <f ca="1">IFERROR(
  VLOOKUP(A121, '1C'!C:K, 9, 0),)</f>
        <v>3 380V modules; In: 10kA</v>
      </c>
      <c r="E121" s="81" t="str">
        <f ca="1">IFERROR(
  VLOOKUP(A121, '1C'!C:Q, 15, 0),)</f>
        <v>DIN</v>
      </c>
      <c r="F121" s="82">
        <f ca="1">IFERROR(
  VLOOKUP(A121, '1C'!C:S, 17, 0),)</f>
        <v>3</v>
      </c>
      <c r="G121" s="83" t="str">
        <f ca="1">IFERROR(
  VLOOKUP(A121, '1C'!C:U, 19, 0),)</f>
        <v>-</v>
      </c>
      <c r="H121" s="81" t="str">
        <f ca="1">IFERROR(
  VLOOKUP(A121, '1C'!C:G, 5, 0),)</f>
        <v>NTOPN3S10</v>
      </c>
      <c r="I121" s="90">
        <f ca="1">IFERROR( VLOOKUP(A121, '1C'!C:I, 7, 0),)</f>
        <v>0</v>
      </c>
      <c r="J121" s="91" t="str">
        <f ca="1">IFERROR(
  VLOOKUP(A121, '1C'!C:H, 6, 0),)</f>
        <v>8536 30 90 00</v>
      </c>
      <c r="K121" s="86"/>
      <c r="L121" s="92"/>
    </row>
    <row r="122" spans="1:12" ht="14.4">
      <c r="A122" s="93" t="str">
        <f ca="1">IFERROR(__xludf.DUMMYFUNCTION("iferror(IFERROR(
HYPERLINK(
  VLOOKUP(
    INDEX(UNIQUE(FLATTEN({'1C'!$W$2:W200,'1C'!$C$2:C200})), ROW(A120)), 
    '1C'!C:O, 12, 0),
  INDEX(UNIQUE(FLATTEN({'1C'!$W$2:W200,'1C'!$C$2:C200})), ROW(A120))),
MATCH(INDEX(UNIQUE(FLATTEN({'1C'!$W$2:W200,'1C'!$C"&amp;"$2:C200})), ROW(A120)), L$3:L200, 0)
),)"),"OPN-M (3S) 20KA")</f>
        <v>OPN-M (3S) 20KA</v>
      </c>
      <c r="B122" s="108">
        <f ca="1">IFERROR(
  VLOOKUP(A122, '1C'!C:E, 3, 0),)</f>
        <v>31</v>
      </c>
      <c r="C122" s="108">
        <f ca="1">IFERROR(
  VLOOKUP(A122, '1C'!C:Z, 24, 0),)</f>
        <v>31</v>
      </c>
      <c r="D122" s="80" t="str">
        <f ca="1">IFERROR(
  VLOOKUP(A122, '1C'!C:K, 9, 0),)</f>
        <v>3 380V modules; In: 20kA</v>
      </c>
      <c r="E122" s="81" t="str">
        <f ca="1">IFERROR(
  VLOOKUP(A122, '1C'!C:Q, 15, 0),)</f>
        <v>DIN</v>
      </c>
      <c r="F122" s="82">
        <f ca="1">IFERROR(
  VLOOKUP(A122, '1C'!C:S, 17, 0),)</f>
        <v>3</v>
      </c>
      <c r="G122" s="83" t="str">
        <f ca="1">IFERROR(
  VLOOKUP(A122, '1C'!C:U, 19, 0),)</f>
        <v>-</v>
      </c>
      <c r="H122" s="81" t="str">
        <f ca="1">IFERROR(
  VLOOKUP(A122, '1C'!C:G, 5, 0),)</f>
        <v>NTOPN3S20</v>
      </c>
      <c r="I122" s="90">
        <f ca="1">IFERROR( VLOOKUP(A122, '1C'!C:I, 7, 0),)</f>
        <v>0</v>
      </c>
      <c r="J122" s="91" t="str">
        <f ca="1">IFERROR(
  VLOOKUP(A122, '1C'!C:H, 6, 0),)</f>
        <v>8536 30 90 00</v>
      </c>
      <c r="K122" s="86"/>
      <c r="L122" s="92"/>
    </row>
    <row r="123" spans="1:12" ht="14.4">
      <c r="A123" s="93" t="str">
        <f ca="1">IFERROR(__xludf.DUMMYFUNCTION("iferror(IFERROR(
HYPERLINK(
  VLOOKUP(
    INDEX(UNIQUE(FLATTEN({'1C'!$W$2:W200,'1C'!$C$2:C200})), ROW(A121)), 
    '1C'!C:O, 12, 0),
  INDEX(UNIQUE(FLATTEN({'1C'!$W$2:W200,'1C'!$C$2:C200})), ROW(A121))),
MATCH(INDEX(UNIQUE(FLATTEN({'1C'!$W$2:W200,'1C'!$C"&amp;"$2:C200})), ROW(A121)), L$3:L200, 0)
),)"),"OPN-M (3S) 30KA")</f>
        <v>OPN-M (3S) 30KA</v>
      </c>
      <c r="B123" s="108">
        <f ca="1">IFERROR(
  VLOOKUP(A123, '1C'!C:E, 3, 0),)</f>
        <v>31</v>
      </c>
      <c r="C123" s="108">
        <f ca="1">IFERROR(
  VLOOKUP(A123, '1C'!C:Z, 24, 0),)</f>
        <v>31</v>
      </c>
      <c r="D123" s="80" t="str">
        <f ca="1">IFERROR(
  VLOOKUP(A123, '1C'!C:K, 9, 0),)</f>
        <v>3 380V modules; In: 30kA</v>
      </c>
      <c r="E123" s="81" t="str">
        <f ca="1">IFERROR(
  VLOOKUP(A123, '1C'!C:Q, 15, 0),)</f>
        <v>DIN</v>
      </c>
      <c r="F123" s="82">
        <f ca="1">IFERROR(
  VLOOKUP(A123, '1C'!C:S, 17, 0),)</f>
        <v>3</v>
      </c>
      <c r="G123" s="83" t="str">
        <f ca="1">IFERROR(
  VLOOKUP(A123, '1C'!C:U, 19, 0),)</f>
        <v>-</v>
      </c>
      <c r="H123" s="81" t="str">
        <f ca="1">IFERROR(
  VLOOKUP(A123, '1C'!C:G, 5, 0),)</f>
        <v>NTOPN3S30</v>
      </c>
      <c r="I123" s="90">
        <f ca="1">IFERROR( VLOOKUP(A123, '1C'!C:I, 7, 0),)</f>
        <v>0</v>
      </c>
      <c r="J123" s="91" t="str">
        <f ca="1">IFERROR(
  VLOOKUP(A123, '1C'!C:H, 6, 0),)</f>
        <v>8536 30 90 00</v>
      </c>
      <c r="K123" s="86"/>
      <c r="L123" s="92"/>
    </row>
    <row r="124" spans="1:12" ht="14.4">
      <c r="A124" s="93" t="str">
        <f ca="1">IFERROR(__xludf.DUMMYFUNCTION("iferror(IFERROR(
HYPERLINK(
  VLOOKUP(
    INDEX(UNIQUE(FLATTEN({'1C'!$W$2:W200,'1C'!$C$2:C200})), ROW(A122)), 
    '1C'!C:O, 12, 0),
  INDEX(UNIQUE(FLATTEN({'1C'!$W$2:W200,'1C'!$C$2:C200})), ROW(A122))),
MATCH(INDEX(UNIQUE(FLATTEN({'1C'!$W$2:W200,'1C'!$C"&amp;"$2:C200})), ROW(A122)), L$3:L200, 0)
),)"),"OPN-M (4S) 10KA")</f>
        <v>OPN-M (4S) 10KA</v>
      </c>
      <c r="B124" s="108">
        <f ca="1">IFERROR(
  VLOOKUP(A124, '1C'!C:E, 3, 0),)</f>
        <v>41</v>
      </c>
      <c r="C124" s="108">
        <f ca="1">IFERROR(
  VLOOKUP(A124, '1C'!C:Z, 24, 0),)</f>
        <v>41</v>
      </c>
      <c r="D124" s="80" t="str">
        <f ca="1">IFERROR(
  VLOOKUP(A124, '1C'!C:K, 9, 0),)</f>
        <v>4 380V modules; In: 10kA</v>
      </c>
      <c r="E124" s="81" t="str">
        <f ca="1">IFERROR(
  VLOOKUP(A124, '1C'!C:Q, 15, 0),)</f>
        <v>DIN</v>
      </c>
      <c r="F124" s="82">
        <f ca="1">IFERROR(
  VLOOKUP(A124, '1C'!C:S, 17, 0),)</f>
        <v>4</v>
      </c>
      <c r="G124" s="83" t="str">
        <f ca="1">IFERROR(
  VLOOKUP(A124, '1C'!C:U, 19, 0),)</f>
        <v>-</v>
      </c>
      <c r="H124" s="81" t="str">
        <f ca="1">IFERROR(
  VLOOKUP(A124, '1C'!C:G, 5, 0),)</f>
        <v>NTOPN4S10</v>
      </c>
      <c r="I124" s="90">
        <f ca="1">IFERROR( VLOOKUP(A124, '1C'!C:I, 7, 0),)</f>
        <v>0</v>
      </c>
      <c r="J124" s="91" t="str">
        <f ca="1">IFERROR(
  VLOOKUP(A124, '1C'!C:H, 6, 0),)</f>
        <v>8536 30 90 00</v>
      </c>
      <c r="K124" s="86"/>
      <c r="L124" s="92"/>
    </row>
    <row r="125" spans="1:12" ht="14.4">
      <c r="A125" s="93" t="str">
        <f ca="1">IFERROR(__xludf.DUMMYFUNCTION("iferror(IFERROR(
HYPERLINK(
  VLOOKUP(
    INDEX(UNIQUE(FLATTEN({'1C'!$W$2:W200,'1C'!$C$2:C200})), ROW(A123)), 
    '1C'!C:O, 12, 0),
  INDEX(UNIQUE(FLATTEN({'1C'!$W$2:W200,'1C'!$C$2:C200})), ROW(A123))),
MATCH(INDEX(UNIQUE(FLATTEN({'1C'!$W$2:W200,'1C'!$C"&amp;"$2:C200})), ROW(A123)), L$3:L200, 0)
),)"),"OPN-M (4S) 20KA")</f>
        <v>OPN-M (4S) 20KA</v>
      </c>
      <c r="B125" s="108">
        <f ca="1">IFERROR(
  VLOOKUP(A125, '1C'!C:E, 3, 0),)</f>
        <v>41</v>
      </c>
      <c r="C125" s="108">
        <f ca="1">IFERROR(
  VLOOKUP(A125, '1C'!C:Z, 24, 0),)</f>
        <v>41</v>
      </c>
      <c r="D125" s="80" t="str">
        <f ca="1">IFERROR(
  VLOOKUP(A125, '1C'!C:K, 9, 0),)</f>
        <v>4 380V modules; In: 20kA</v>
      </c>
      <c r="E125" s="81" t="str">
        <f ca="1">IFERROR(
  VLOOKUP(A125, '1C'!C:Q, 15, 0),)</f>
        <v>DIN</v>
      </c>
      <c r="F125" s="82">
        <f ca="1">IFERROR(
  VLOOKUP(A125, '1C'!C:S, 17, 0),)</f>
        <v>4</v>
      </c>
      <c r="G125" s="83" t="str">
        <f ca="1">IFERROR(
  VLOOKUP(A125, '1C'!C:U, 19, 0),)</f>
        <v>-</v>
      </c>
      <c r="H125" s="81" t="str">
        <f ca="1">IFERROR(
  VLOOKUP(A125, '1C'!C:G, 5, 0),)</f>
        <v>NTOPN4S20</v>
      </c>
      <c r="I125" s="90">
        <f ca="1">IFERROR( VLOOKUP(A125, '1C'!C:I, 7, 0),)</f>
        <v>0</v>
      </c>
      <c r="J125" s="91" t="str">
        <f ca="1">IFERROR(
  VLOOKUP(A125, '1C'!C:H, 6, 0),)</f>
        <v>8536 30 90 00</v>
      </c>
      <c r="K125" s="86"/>
      <c r="L125" s="92"/>
    </row>
    <row r="126" spans="1:12" ht="14.4">
      <c r="A126" s="93" t="str">
        <f ca="1">IFERROR(__xludf.DUMMYFUNCTION("iferror(IFERROR(
HYPERLINK(
  VLOOKUP(
    INDEX(UNIQUE(FLATTEN({'1C'!$W$2:W200,'1C'!$C$2:C200})), ROW(A124)), 
    '1C'!C:O, 12, 0),
  INDEX(UNIQUE(FLATTEN({'1C'!$W$2:W200,'1C'!$C$2:C200})), ROW(A124))),
MATCH(INDEX(UNIQUE(FLATTEN({'1C'!$W$2:W200,'1C'!$C"&amp;"$2:C200})), ROW(A124)), L$3:L200, 0)
),)"),"OPN-M (4S) 30KA")</f>
        <v>OPN-M (4S) 30KA</v>
      </c>
      <c r="B126" s="108">
        <f ca="1">IFERROR(
  VLOOKUP(A126, '1C'!C:E, 3, 0),)</f>
        <v>41</v>
      </c>
      <c r="C126" s="108">
        <f ca="1">IFERROR(
  VLOOKUP(A126, '1C'!C:Z, 24, 0),)</f>
        <v>41</v>
      </c>
      <c r="D126" s="80" t="str">
        <f ca="1">IFERROR(
  VLOOKUP(A126, '1C'!C:K, 9, 0),)</f>
        <v>4 380V modules; In: 30kA</v>
      </c>
      <c r="E126" s="81" t="str">
        <f ca="1">IFERROR(
  VLOOKUP(A126, '1C'!C:Q, 15, 0),)</f>
        <v>DIN</v>
      </c>
      <c r="F126" s="82">
        <f ca="1">IFERROR(
  VLOOKUP(A126, '1C'!C:S, 17, 0),)</f>
        <v>4</v>
      </c>
      <c r="G126" s="83" t="str">
        <f ca="1">IFERROR(
  VLOOKUP(A126, '1C'!C:U, 19, 0),)</f>
        <v>-</v>
      </c>
      <c r="H126" s="81" t="str">
        <f ca="1">IFERROR(
  VLOOKUP(A126, '1C'!C:G, 5, 0),)</f>
        <v>NTOPN4S30</v>
      </c>
      <c r="I126" s="90">
        <f ca="1">IFERROR( VLOOKUP(A126, '1C'!C:I, 7, 0),)</f>
        <v>0</v>
      </c>
      <c r="J126" s="91" t="str">
        <f ca="1">IFERROR(
  VLOOKUP(A126, '1C'!C:H, 6, 0),)</f>
        <v>8536 30 90 00</v>
      </c>
      <c r="K126" s="86"/>
      <c r="L126" s="92"/>
    </row>
    <row r="127" spans="1:12" ht="14.4">
      <c r="A127" s="93" t="str">
        <f ca="1">IFERROR(__xludf.DUMMYFUNCTION("iferror(IFERROR(
HYPERLINK(
  VLOOKUP(
    INDEX(UNIQUE(FLATTEN({'1C'!$W$2:W200,'1C'!$C$2:C200})), ROW(A125)), 
    '1C'!C:O, 12, 0),
  INDEX(UNIQUE(FLATTEN({'1C'!$W$2:W200,'1C'!$C$2:C200})), ROW(A125))),
MATCH(INDEX(UNIQUE(FLATTEN({'1C'!$W$2:W200,'1C'!$C"&amp;"$2:C200})), ROW(A125)), L$3:L200, 0)
),)"),"Single-phase voltage relay (plug-socket)")</f>
        <v>Single-phase voltage relay (plug-socket)</v>
      </c>
      <c r="B127" s="108">
        <f ca="1">IFERROR(
  VLOOKUP(A127, '1C'!C:E, 3, 0),)</f>
        <v>0</v>
      </c>
      <c r="C127" s="108">
        <f ca="1">IFERROR(
  VLOOKUP(A127, '1C'!C:Z, 24, 0),)</f>
        <v>0</v>
      </c>
      <c r="D127" s="80">
        <f ca="1">IFERROR(
  VLOOKUP(A127, '1C'!C:K, 9, 0),)</f>
        <v>0</v>
      </c>
      <c r="E127" s="81">
        <f ca="1">IFERROR(
  VLOOKUP(A127, '1C'!C:Q, 15, 0),)</f>
        <v>0</v>
      </c>
      <c r="F127" s="82">
        <f ca="1">IFERROR(
  VLOOKUP(A127, '1C'!C:S, 17, 0),)</f>
        <v>0</v>
      </c>
      <c r="G127" s="83">
        <f ca="1">IFERROR(
  VLOOKUP(A127, '1C'!C:U, 19, 0),)</f>
        <v>0</v>
      </c>
      <c r="H127" s="81">
        <f ca="1">IFERROR(
  VLOOKUP(A127, '1C'!C:G, 5, 0),)</f>
        <v>0</v>
      </c>
      <c r="I127" s="90">
        <f ca="1">IFERROR( VLOOKUP(A127, '1C'!C:I, 7, 0),)</f>
        <v>0</v>
      </c>
      <c r="J127" s="91">
        <f ca="1">IFERROR(
  VLOOKUP(A127, '1C'!C:H, 6, 0),)</f>
        <v>0</v>
      </c>
      <c r="K127" s="86"/>
      <c r="L127" s="92"/>
    </row>
    <row r="128" spans="1:12" ht="14.4">
      <c r="A128" s="88" t="str">
        <f ca="1">IFERROR(__xludf.DUMMYFUNCTION("iferror(IFERROR(
HYPERLINK(
  VLOOKUP(
    INDEX(UNIQUE(FLATTEN({'1C'!$W$2:W200,'1C'!$C$2:C200})), ROW(A126)), 
    '1C'!C:O, 12, 0),
  INDEX(UNIQUE(FLATTEN({'1C'!$W$2:W200,'1C'!$C$2:C200})), ROW(A126))),
MATCH(INDEX(UNIQUE(FLATTEN({'1C'!$W$2:W200,'1C'!$C"&amp;"$2:C200})), ROW(A126)), L$3:L200, 0)
),)"),"RN-101m")</f>
        <v>RN-101m</v>
      </c>
      <c r="B128" s="108" t="str">
        <f ca="1">IFERROR(
  VLOOKUP(A128, '1C'!C:E, 3, 0),)</f>
        <v>out of production</v>
      </c>
      <c r="C128" s="108" t="str">
        <f ca="1">IFERROR(
  VLOOKUP(A128, '1C'!C:Z, 24, 0),)</f>
        <v>out of production</v>
      </c>
      <c r="D128" s="80" t="str">
        <f ca="1">IFERROR(
  VLOOKUP(A128, '1C'!C:K, 9, 0),)</f>
        <v>Socket, indication of voltage and current, current machine</v>
      </c>
      <c r="E128" s="81" t="str">
        <f ca="1">IFERROR(
  VLOOKUP(A128, '1C'!C:Q, 15, 0),)</f>
        <v>Socket</v>
      </c>
      <c r="F128" s="82" t="str">
        <f ca="1">IFERROR(
  VLOOKUP(A128, '1C'!C:S, 17, 0),)</f>
        <v>-</v>
      </c>
      <c r="G128" s="83" t="str">
        <f ca="1">IFERROR(
  VLOOKUP(A128, '1C'!C:U, 19, 0),)</f>
        <v>16А</v>
      </c>
      <c r="H128" s="81" t="str">
        <f ca="1">IFERROR(
  VLOOKUP(A128, '1C'!C:G, 5, 0),)</f>
        <v>NTRN101M0</v>
      </c>
      <c r="I128" s="90" t="str">
        <f ca="1">IFERROR( VLOOKUP(A128, '1C'!C:I, 7, 0),)</f>
        <v>-</v>
      </c>
      <c r="J128" s="91" t="str">
        <f ca="1">IFERROR(
  VLOOKUP(A128, '1C'!C:H, 6, 0),)</f>
        <v>8536 49 00 90</v>
      </c>
      <c r="K128" s="86"/>
      <c r="L128" s="92"/>
    </row>
    <row r="129" spans="1:12" ht="14.4">
      <c r="A129" s="88" t="str">
        <f ca="1">IFERROR(__xludf.DUMMYFUNCTION("iferror(IFERROR(
HYPERLINK(
  VLOOKUP(
    INDEX(UNIQUE(FLATTEN({'1C'!$W$2:W200,'1C'!$C$2:C200})), ROW(A127)), 
    '1C'!C:O, 12, 0),
  INDEX(UNIQUE(FLATTEN({'1C'!$W$2:W200,'1C'!$C$2:C200})), ROW(A127))),
MATCH(INDEX(UNIQUE(FLATTEN({'1C'!$W$2:W200,'1C'!$C"&amp;"$2:C200})), ROW(A127)), L$3:L200, 0)
),)"),"RN-101m1")</f>
        <v>RN-101m1</v>
      </c>
      <c r="B129" s="108">
        <f ca="1">IFERROR(
  VLOOKUP(A129, '1C'!C:E, 3, 0),)</f>
        <v>23</v>
      </c>
      <c r="C129" s="108">
        <f ca="1">IFERROR(
  VLOOKUP(A129, '1C'!C:Z, 24, 0),)</f>
        <v>23</v>
      </c>
      <c r="D129" s="80" t="str">
        <f ca="1">IFERROR(
  VLOOKUP(A129, '1C'!C:K, 9, 0),)</f>
        <v>Socket, indication of voltage and current, current limitation</v>
      </c>
      <c r="E129" s="81" t="str">
        <f ca="1">IFERROR(
  VLOOKUP(A129, '1C'!C:Q, 15, 0),)</f>
        <v>Socket</v>
      </c>
      <c r="F129" s="82" t="str">
        <f ca="1">IFERROR(
  VLOOKUP(A129, '1C'!C:S, 17, 0),)</f>
        <v>-</v>
      </c>
      <c r="G129" s="83" t="str">
        <f ca="1">IFERROR(
  VLOOKUP(A129, '1C'!C:U, 19, 0),)</f>
        <v>16А</v>
      </c>
      <c r="H129" s="81" t="str">
        <f ca="1">IFERROR(
  VLOOKUP(A129, '1C'!C:G, 5, 0),)</f>
        <v>NTRN101M1</v>
      </c>
      <c r="I129" s="90">
        <f ca="1">IFERROR( VLOOKUP(A129, '1C'!C:I, 7, 0),)</f>
        <v>4820122950016</v>
      </c>
      <c r="J129" s="91" t="str">
        <f ca="1">IFERROR(
  VLOOKUP(A129, '1C'!C:H, 6, 0),)</f>
        <v>8536 49 00 90</v>
      </c>
      <c r="K129" s="86"/>
      <c r="L129" s="92"/>
    </row>
    <row r="130" spans="1:12" ht="14.4">
      <c r="A130" s="88" t="str">
        <f ca="1">IFERROR(__xludf.DUMMYFUNCTION("iferror(IFERROR(
HYPERLINK(
  VLOOKUP(
    INDEX(UNIQUE(FLATTEN({'1C'!$W$2:W200,'1C'!$C$2:C200})), ROW(A128)), 
    '1C'!C:O, 12, 0),
  INDEX(UNIQUE(FLATTEN({'1C'!$W$2:W200,'1C'!$C$2:C200})), ROW(A128))),
MATCH(INDEX(UNIQUE(FLATTEN({'1C'!$W$2:W200,'1C'!$C"&amp;"$2:C200})), ROW(A128)), L$3:L200, 0)
),)"),"RN-122")</f>
        <v>RN-122</v>
      </c>
      <c r="B130" s="108">
        <f ca="1">IFERROR(
  VLOOKUP(A130, '1C'!C:E, 3, 0),)</f>
        <v>19</v>
      </c>
      <c r="C130" s="108">
        <f ca="1">IFERROR(
  VLOOKUP(A130, '1C'!C:Z, 24, 0),)</f>
        <v>19</v>
      </c>
      <c r="D130" s="80" t="str">
        <f ca="1">IFERROR(
  VLOOKUP(A130, '1C'!C:K, 9, 0),)</f>
        <v>Socket, indication, push-button control</v>
      </c>
      <c r="E130" s="81" t="str">
        <f ca="1">IFERROR(
  VLOOKUP(A130, '1C'!C:Q, 15, 0),)</f>
        <v>Socket</v>
      </c>
      <c r="F130" s="82" t="str">
        <f ca="1">IFERROR(
  VLOOKUP(A130, '1C'!C:S, 17, 0),)</f>
        <v>-</v>
      </c>
      <c r="G130" s="83" t="str">
        <f ca="1">IFERROR(
  VLOOKUP(A130, '1C'!C:U, 19, 0),)</f>
        <v>16А</v>
      </c>
      <c r="H130" s="81" t="str">
        <f ca="1">IFERROR(
  VLOOKUP(A130, '1C'!C:G, 5, 0),)</f>
        <v>NTRN12200</v>
      </c>
      <c r="I130" s="90">
        <f ca="1">IFERROR( VLOOKUP(A130, '1C'!C:I, 7, 0),)</f>
        <v>4820122950207</v>
      </c>
      <c r="J130" s="91" t="str">
        <f ca="1">IFERROR(
  VLOOKUP(A130, '1C'!C:H, 6, 0),)</f>
        <v>8536 49 00 90</v>
      </c>
      <c r="K130" s="86"/>
      <c r="L130" s="92"/>
    </row>
    <row r="131" spans="1:12" ht="14.4">
      <c r="A131" s="88" t="str">
        <f ca="1">IFERROR(__xludf.DUMMYFUNCTION("iferror(IFERROR(
HYPERLINK(
  VLOOKUP(
    INDEX(UNIQUE(FLATTEN({'1C'!$W$2:W200,'1C'!$C$2:C200})), ROW(A129)), 
    '1C'!C:O, 12, 0),
  INDEX(UNIQUE(FLATTEN({'1C'!$W$2:W200,'1C'!$C$2:C200})), ROW(A129))),
MATCH(INDEX(UNIQUE(FLATTEN({'1C'!$W$2:W200,'1C'!$C"&amp;"$2:C200})), ROW(A129)), L$3:L200, 0)
),)"),"RN-116")</f>
        <v>RN-116</v>
      </c>
      <c r="B131" s="108">
        <f ca="1">IFERROR(
  VLOOKUP(A131, '1C'!C:E, 3, 0),)</f>
        <v>17</v>
      </c>
      <c r="C131" s="108">
        <f ca="1">IFERROR(
  VLOOKUP(A131, '1C'!C:Z, 24, 0),)</f>
        <v>17</v>
      </c>
      <c r="D131" s="80" t="str">
        <f ca="1">IFERROR(
  VLOOKUP(A131, '1C'!C:K, 9, 0),)</f>
        <v>Socket, indication, potentiometers</v>
      </c>
      <c r="E131" s="81" t="str">
        <f ca="1">IFERROR(
  VLOOKUP(A131, '1C'!C:Q, 15, 0),)</f>
        <v>Socket</v>
      </c>
      <c r="F131" s="82" t="str">
        <f ca="1">IFERROR(
  VLOOKUP(A131, '1C'!C:S, 17, 0),)</f>
        <v>-</v>
      </c>
      <c r="G131" s="83" t="str">
        <f ca="1">IFERROR(
  VLOOKUP(A131, '1C'!C:U, 19, 0),)</f>
        <v>16А</v>
      </c>
      <c r="H131" s="81" t="str">
        <f ca="1">IFERROR(
  VLOOKUP(A131, '1C'!C:G, 5, 0),)</f>
        <v>NTRN11600</v>
      </c>
      <c r="I131" s="90">
        <f ca="1">IFERROR( VLOOKUP(A131, '1C'!C:I, 7, 0),)</f>
        <v>4820122950047</v>
      </c>
      <c r="J131" s="91" t="str">
        <f ca="1">IFERROR(
  VLOOKUP(A131, '1C'!C:H, 6, 0),)</f>
        <v>8536 49 00 90</v>
      </c>
      <c r="K131" s="86"/>
      <c r="L131" s="92"/>
    </row>
    <row r="132" spans="1:12" ht="14.4">
      <c r="A132" s="88" t="str">
        <f ca="1">IFERROR(__xludf.DUMMYFUNCTION("iferror(IFERROR(
HYPERLINK(
  VLOOKUP(
    INDEX(UNIQUE(FLATTEN({'1C'!$W$2:W200,'1C'!$C$2:C200})), ROW(A130)), 
    '1C'!C:O, 12, 0),
  INDEX(UNIQUE(FLATTEN({'1C'!$W$2:W200,'1C'!$C$2:C200})), ROW(A130))),
MATCH(INDEX(UNIQUE(FLATTEN({'1C'!$W$2:W200,'1C'!$C"&amp;"$2:C200})), ROW(A130)), L$3:L200, 0)
),)"),"VC-115")</f>
        <v>VC-115</v>
      </c>
      <c r="B132" s="108">
        <f ca="1">IFERROR(
  VLOOKUP(A132, '1C'!C:E, 3, 0),)</f>
        <v>17</v>
      </c>
      <c r="C132" s="108">
        <f ca="1">IFERROR(
  VLOOKUP(A132, '1C'!C:Z, 24, 0),)</f>
        <v>17</v>
      </c>
      <c r="D132" s="80" t="str">
        <f ca="1">IFERROR(
  VLOOKUP(A132, '1C'!C:K, 9, 0),)</f>
        <v>Socket, indication, potentiometers</v>
      </c>
      <c r="E132" s="81" t="str">
        <f ca="1">IFERROR(
  VLOOKUP(A132, '1C'!C:Q, 15, 0),)</f>
        <v>Socket</v>
      </c>
      <c r="F132" s="82" t="str">
        <f ca="1">IFERROR(
  VLOOKUP(A132, '1C'!C:S, 17, 0),)</f>
        <v>-</v>
      </c>
      <c r="G132" s="83" t="str">
        <f ca="1">IFERROR(
  VLOOKUP(A132, '1C'!C:U, 19, 0),)</f>
        <v>16А</v>
      </c>
      <c r="H132" s="81" t="str">
        <f ca="1">IFERROR(
  VLOOKUP(A132, '1C'!C:G, 5, 0),)</f>
        <v>NTRN115VC</v>
      </c>
      <c r="I132" s="90">
        <f ca="1">IFERROR( VLOOKUP(A132, '1C'!C:I, 7, 0),)</f>
        <v>4820122950177</v>
      </c>
      <c r="J132" s="91" t="str">
        <f ca="1">IFERROR(
  VLOOKUP(A132, '1C'!C:H, 6, 0),)</f>
        <v>8536 49 00 90</v>
      </c>
      <c r="K132" s="86"/>
      <c r="L132" s="92"/>
    </row>
    <row r="133" spans="1:12" ht="14.4">
      <c r="A133" s="88" t="str">
        <f ca="1">IFERROR(__xludf.DUMMYFUNCTION("iferror(IFERROR(
HYPERLINK(
  VLOOKUP(
    INDEX(UNIQUE(FLATTEN({'1C'!$W$2:W200,'1C'!$C$2:C200})), ROW(A131)), 
    '1C'!C:O, 12, 0),
  INDEX(UNIQUE(FLATTEN({'1C'!$W$2:W200,'1C'!$C$2:C200})), ROW(A131))),
MATCH(INDEX(UNIQUE(FLATTEN({'1C'!$W$2:W200,'1C'!$C"&amp;"$2:C200})), ROW(A131)), L$3:L200, 0)
),)"),"RN-117")</f>
        <v>RN-117</v>
      </c>
      <c r="B133" s="108">
        <f ca="1">IFERROR(
  VLOOKUP(A133, '1C'!C:E, 3, 0),)</f>
        <v>15</v>
      </c>
      <c r="C133" s="108">
        <f ca="1">IFERROR(
  VLOOKUP(A133, '1C'!C:Z, 24, 0),)</f>
        <v>15</v>
      </c>
      <c r="D133" s="80" t="str">
        <f ca="1">IFERROR(
  VLOOKUP(A133, '1C'!C:K, 9, 0),)</f>
        <v>Built-in settings</v>
      </c>
      <c r="E133" s="81" t="str">
        <f ca="1">IFERROR(
  VLOOKUP(A133, '1C'!C:Q, 15, 0),)</f>
        <v>Socket</v>
      </c>
      <c r="F133" s="82" t="str">
        <f ca="1">IFERROR(
  VLOOKUP(A133, '1C'!C:S, 17, 0),)</f>
        <v>-</v>
      </c>
      <c r="G133" s="83" t="str">
        <f ca="1">IFERROR(
  VLOOKUP(A133, '1C'!C:U, 19, 0),)</f>
        <v>16А</v>
      </c>
      <c r="H133" s="81" t="str">
        <f ca="1">IFERROR(
  VLOOKUP(A133, '1C'!C:G, 5, 0),)</f>
        <v>NTRN11700</v>
      </c>
      <c r="I133" s="90">
        <f ca="1">IFERROR( VLOOKUP(A133, '1C'!C:I, 7, 0),)</f>
        <v>4820122950030</v>
      </c>
      <c r="J133" s="91" t="str">
        <f ca="1">IFERROR(
  VLOOKUP(A133, '1C'!C:H, 6, 0),)</f>
        <v>8536 49 00 90</v>
      </c>
      <c r="K133" s="86"/>
      <c r="L133" s="92"/>
    </row>
    <row r="134" spans="1:12" ht="14.4">
      <c r="A134" s="93" t="str">
        <f ca="1">IFERROR(__xludf.DUMMYFUNCTION("iferror(IFERROR(
HYPERLINK(
  VLOOKUP(
    INDEX(UNIQUE(FLATTEN({'1C'!$W$2:W200,'1C'!$C$2:C200})), ROW(A132)), 
    '1C'!C:O, 12, 0),
  INDEX(UNIQUE(FLATTEN({'1C'!$W$2:W200,'1C'!$C$2:C200})), ROW(A132))),
MATCH(INDEX(UNIQUE(FLATTEN({'1C'!$W$2:W200,'1C'!$C"&amp;"$2:C200})), ROW(A132)), L$3:L200, 0)
),)"),"EM-125")</f>
        <v>EM-125</v>
      </c>
      <c r="B134" s="108">
        <f ca="1">IFERROR(
  VLOOKUP(A134, '1C'!C:E, 3, 0),)</f>
        <v>65</v>
      </c>
      <c r="C134" s="108">
        <f ca="1">IFERROR(
  VLOOKUP(A134, '1C'!C:Z, 24, 0),)</f>
        <v>65</v>
      </c>
      <c r="D134" s="80" t="str">
        <f ca="1">IFERROR(
  VLOOKUP(A134, '1C'!C:K, 9, 0),)</f>
        <v>Wi-Fi multifunction timer with voltage relay, power and current limitaton functions</v>
      </c>
      <c r="E134" s="81" t="str">
        <f ca="1">IFERROR(
  VLOOKUP(A134, '1C'!C:Q, 15, 0),)</f>
        <v>Socket</v>
      </c>
      <c r="F134" s="82" t="str">
        <f ca="1">IFERROR(
  VLOOKUP(A134, '1C'!C:S, 17, 0),)</f>
        <v>-</v>
      </c>
      <c r="G134" s="83" t="str">
        <f ca="1">IFERROR(
  VLOOKUP(A134, '1C'!C:U, 19, 0),)</f>
        <v>16А</v>
      </c>
      <c r="H134" s="81" t="str">
        <f ca="1">IFERROR(
  VLOOKUP(A134, '1C'!C:G, 5, 0),)</f>
        <v>NTRN125S0</v>
      </c>
      <c r="I134" s="90">
        <f ca="1">IFERROR( VLOOKUP(A134, '1C'!C:I, 7, 0),)</f>
        <v>4820122950283</v>
      </c>
      <c r="J134" s="91" t="str">
        <f ca="1">IFERROR(
  VLOOKUP(A134, '1C'!C:H, 6, 0),)</f>
        <v>8536 49 00 90</v>
      </c>
      <c r="K134" s="86"/>
      <c r="L134" s="92"/>
    </row>
    <row r="135" spans="1:12" ht="26.4">
      <c r="A135" s="88" t="str">
        <f ca="1">IFERROR(__xludf.DUMMYFUNCTION("iferror(IFERROR(
HYPERLINK(
  VLOOKUP(
    INDEX(UNIQUE(FLATTEN({'1C'!$W$2:W200,'1C'!$C$2:C200})), ROW(A133)), 
    '1C'!C:O, 12, 0),
  INDEX(UNIQUE(FLATTEN({'1C'!$W$2:W200,'1C'!$C$2:C200})), ROW(A133))),
MATCH(INDEX(UNIQUE(FLATTEN({'1C'!$W$2:W200,'1C'!$C"&amp;"$2:C200})), ROW(A133)), L$3:L200, 0)
),)"),"EM-126T-1")</f>
        <v>EM-126T-1</v>
      </c>
      <c r="B135" s="108">
        <f ca="1">IFERROR(
  VLOOKUP(A135, '1C'!C:E, 3, 0),)</f>
        <v>66</v>
      </c>
      <c r="C135" s="108">
        <f ca="1">IFERROR(
  VLOOKUP(A135, '1C'!C:Z, 24, 0),)</f>
        <v>66</v>
      </c>
      <c r="D135" s="80" t="str">
        <f ca="1">IFERROR(
  VLOOKUP(A135, '1C'!C:K, 9, 0),)</f>
        <v>Wi-Fi multifunction timer with voltage relay, power and current limitaton functions,  temperature sensor 10 cm</v>
      </c>
      <c r="E135" s="81" t="str">
        <f ca="1">IFERROR(
  VLOOKUP(A135, '1C'!C:Q, 15, 0),)</f>
        <v>Socket</v>
      </c>
      <c r="F135" s="82" t="str">
        <f ca="1">IFERROR(
  VLOOKUP(A135, '1C'!C:S, 17, 0),)</f>
        <v>-</v>
      </c>
      <c r="G135" s="83" t="str">
        <f ca="1">IFERROR(
  VLOOKUP(A135, '1C'!C:U, 19, 0),)</f>
        <v>16А</v>
      </c>
      <c r="H135" s="81" t="str">
        <f ca="1">IFERROR(
  VLOOKUP(A135, '1C'!C:G, 5, 0),)</f>
        <v>NTRN126S1</v>
      </c>
      <c r="I135" s="90">
        <f ca="1">IFERROR( VLOOKUP(A135, '1C'!C:I, 7, 0),)</f>
        <v>4820122950290</v>
      </c>
      <c r="J135" s="91" t="str">
        <f ca="1">IFERROR(
  VLOOKUP(A135, '1C'!C:H, 6, 0),)</f>
        <v>8536 49 00 90</v>
      </c>
      <c r="K135" s="86"/>
      <c r="L135" s="92"/>
    </row>
    <row r="136" spans="1:12" ht="26.4">
      <c r="A136" s="88" t="str">
        <f ca="1">IFERROR(__xludf.DUMMYFUNCTION("iferror(IFERROR(
HYPERLINK(
  VLOOKUP(
    INDEX(UNIQUE(FLATTEN({'1C'!$W$2:W200,'1C'!$C$2:C200})), ROW(A134)), 
    '1C'!C:O, 12, 0),
  INDEX(UNIQUE(FLATTEN({'1C'!$W$2:W200,'1C'!$C$2:C200})), ROW(A134))),
MATCH(INDEX(UNIQUE(FLATTEN({'1C'!$W$2:W200,'1C'!$C"&amp;"$2:C200})), ROW(A134)), L$3:L200, 0)
),)"),"EM-126T-2")</f>
        <v>EM-126T-2</v>
      </c>
      <c r="B136" s="108">
        <f ca="1">IFERROR(
  VLOOKUP(A136, '1C'!C:E, 3, 0),)</f>
        <v>66</v>
      </c>
      <c r="C136" s="108">
        <f ca="1">IFERROR(
  VLOOKUP(A136, '1C'!C:Z, 24, 0),)</f>
        <v>66</v>
      </c>
      <c r="D136" s="80" t="str">
        <f ca="1">IFERROR(
  VLOOKUP(A136, '1C'!C:K, 9, 0),)</f>
        <v>Wi-Fi multifunction timer with voltage relay, power and current limitaton functions,  temperature sensor 1,8 m</v>
      </c>
      <c r="E136" s="81" t="str">
        <f ca="1">IFERROR(
  VLOOKUP(A136, '1C'!C:Q, 15, 0),)</f>
        <v>Socket</v>
      </c>
      <c r="F136" s="82" t="str">
        <f ca="1">IFERROR(
  VLOOKUP(A136, '1C'!C:S, 17, 0),)</f>
        <v>-</v>
      </c>
      <c r="G136" s="83" t="str">
        <f ca="1">IFERROR(
  VLOOKUP(A136, '1C'!C:U, 19, 0),)</f>
        <v>16А</v>
      </c>
      <c r="H136" s="81" t="str">
        <f ca="1">IFERROR(
  VLOOKUP(A136, '1C'!C:G, 5, 0),)</f>
        <v>NTRN126S2</v>
      </c>
      <c r="I136" s="90">
        <f ca="1">IFERROR( VLOOKUP(A136, '1C'!C:I, 7, 0),)</f>
        <v>4820122950306</v>
      </c>
      <c r="J136" s="91" t="str">
        <f ca="1">IFERROR(
  VLOOKUP(A136, '1C'!C:H, 6, 0),)</f>
        <v>8536 49 00 90</v>
      </c>
      <c r="K136" s="86"/>
      <c r="L136" s="92"/>
    </row>
    <row r="137" spans="1:12" ht="14.4">
      <c r="A137" s="93" t="str">
        <f ca="1">IFERROR(__xludf.DUMMYFUNCTION("iferror(IFERROR(
HYPERLINK(
  VLOOKUP(
    INDEX(UNIQUE(FLATTEN({'1C'!$W$2:W200,'1C'!$C$2:C200})), ROW(A135)), 
    '1C'!C:O, 12, 0),
  INDEX(UNIQUE(FLATTEN({'1C'!$W$2:W200,'1C'!$C$2:C200})), ROW(A135))),
MATCH(INDEX(UNIQUE(FLATTEN({'1C'!$W$2:W200,'1C'!$C"&amp;"$2:C200})), ROW(A135)), L$3:L200, 0)
),)"),"Single-phase voltage relays (DIN rail)")</f>
        <v>Single-phase voltage relays (DIN rail)</v>
      </c>
      <c r="B137" s="108">
        <f ca="1">IFERROR(
  VLOOKUP(A137, '1C'!C:E, 3, 0),)</f>
        <v>0</v>
      </c>
      <c r="C137" s="108">
        <f ca="1">IFERROR(
  VLOOKUP(A137, '1C'!C:Z, 24, 0),)</f>
        <v>0</v>
      </c>
      <c r="D137" s="80">
        <f ca="1">IFERROR(
  VLOOKUP(A137, '1C'!C:K, 9, 0),)</f>
        <v>0</v>
      </c>
      <c r="E137" s="81">
        <f ca="1">IFERROR(
  VLOOKUP(A137, '1C'!C:Q, 15, 0),)</f>
        <v>0</v>
      </c>
      <c r="F137" s="82">
        <f ca="1">IFERROR(
  VLOOKUP(A137, '1C'!C:S, 17, 0),)</f>
        <v>0</v>
      </c>
      <c r="G137" s="83">
        <f ca="1">IFERROR(
  VLOOKUP(A137, '1C'!C:U, 19, 0),)</f>
        <v>0</v>
      </c>
      <c r="H137" s="81">
        <f ca="1">IFERROR(
  VLOOKUP(A137, '1C'!C:G, 5, 0),)</f>
        <v>0</v>
      </c>
      <c r="I137" s="90">
        <f ca="1">IFERROR( VLOOKUP(A137, '1C'!C:I, 7, 0),)</f>
        <v>0</v>
      </c>
      <c r="J137" s="91">
        <f ca="1">IFERROR(
  VLOOKUP(A137, '1C'!C:H, 6, 0),)</f>
        <v>0</v>
      </c>
      <c r="K137" s="86"/>
      <c r="L137" s="92"/>
    </row>
    <row r="138" spans="1:12" ht="14.4">
      <c r="A138" s="88" t="str">
        <f ca="1">IFERROR(__xludf.DUMMYFUNCTION("iferror(IFERROR(
HYPERLINK(
  VLOOKUP(
    INDEX(UNIQUE(FLATTEN({'1C'!$W$2:W200,'1C'!$C$2:C200})), ROW(A136)), 
    '1C'!C:O, 12, 0),
  INDEX(UNIQUE(FLATTEN({'1C'!$W$2:W200,'1C'!$C$2:C200})), ROW(A136))),
MATCH(INDEX(UNIQUE(FLATTEN({'1C'!$W$2:W200,'1C'!$C"&amp;"$2:C200})), ROW(A136)), L$3:L200, 0)
),)"),"RN-102")</f>
        <v>RN-102</v>
      </c>
      <c r="B138" s="108">
        <f ca="1">IFERROR(
  VLOOKUP(A138, '1C'!C:E, 3, 0),)</f>
        <v>29</v>
      </c>
      <c r="C138" s="108">
        <f ca="1">IFERROR(
  VLOOKUP(A138, '1C'!C:Z, 24, 0),)</f>
        <v>29</v>
      </c>
      <c r="D138" s="80" t="str">
        <f ca="1">IFERROR(
  VLOOKUP(A138, '1C'!C:K, 9, 0),)</f>
        <v>Wall execution</v>
      </c>
      <c r="E138" s="81" t="str">
        <f ca="1">IFERROR(
  VLOOKUP(A138, '1C'!C:Q, 15, 0),)</f>
        <v>Wall</v>
      </c>
      <c r="F138" s="82" t="str">
        <f ca="1">IFERROR(
  VLOOKUP(A138, '1C'!C:S, 17, 0),)</f>
        <v>-</v>
      </c>
      <c r="G138" s="83" t="str">
        <f ca="1">IFERROR(
  VLOOKUP(A138, '1C'!C:U, 19, 0),)</f>
        <v>32А</v>
      </c>
      <c r="H138" s="81" t="str">
        <f ca="1">IFERROR(
  VLOOKUP(A138, '1C'!C:G, 5, 0),)</f>
        <v>NTRN10200</v>
      </c>
      <c r="I138" s="90" t="str">
        <f ca="1">IFERROR( VLOOKUP(A138, '1C'!C:I, 7, 0),)</f>
        <v>-</v>
      </c>
      <c r="J138" s="91" t="str">
        <f ca="1">IFERROR(
  VLOOKUP(A138, '1C'!C:H, 6, 0),)</f>
        <v>8536 49 00 90</v>
      </c>
      <c r="K138" s="86"/>
      <c r="L138" s="92"/>
    </row>
    <row r="139" spans="1:12" ht="14.4">
      <c r="A139" s="88" t="str">
        <f ca="1">IFERROR(__xludf.DUMMYFUNCTION("iferror(IFERROR(
HYPERLINK(
  VLOOKUP(
    INDEX(UNIQUE(FLATTEN({'1C'!$W$2:W200,'1C'!$C$2:C200})), ROW(A137)), 
    '1C'!C:O, 12, 0),
  INDEX(UNIQUE(FLATTEN({'1C'!$W$2:W200,'1C'!$C$2:C200})), ROW(A137))),
MATCH(INDEX(UNIQUE(FLATTEN({'1C'!$W$2:W200,'1C'!$C"&amp;"$2:C200})), ROW(A137)), L$3:L200, 0)
),)"),"RN-11")</f>
        <v>RN-11</v>
      </c>
      <c r="B139" s="108">
        <f ca="1">IFERROR(
  VLOOKUP(A139, '1C'!C:E, 3, 0),)</f>
        <v>16</v>
      </c>
      <c r="C139" s="108">
        <f ca="1">IFERROR(
  VLOOKUP(A139, '1C'!C:Z, 24, 0),)</f>
        <v>16</v>
      </c>
      <c r="D139" s="80" t="str">
        <f ca="1">IFERROR(
  VLOOKUP(A139, '1C'!C:K, 9, 0),)</f>
        <v>220V Digital voltmeter</v>
      </c>
      <c r="E139" s="81" t="str">
        <f ca="1">IFERROR(
  VLOOKUP(A139, '1C'!C:Q, 15, 0),)</f>
        <v>DIN</v>
      </c>
      <c r="F139" s="82">
        <f ca="1">IFERROR(
  VLOOKUP(A139, '1C'!C:S, 17, 0),)</f>
        <v>2</v>
      </c>
      <c r="G139" s="83" t="str">
        <f ca="1">IFERROR(
  VLOOKUP(A139, '1C'!C:U, 19, 0),)</f>
        <v>-</v>
      </c>
      <c r="H139" s="81" t="str">
        <f ca="1">IFERROR(
  VLOOKUP(A139, '1C'!C:G, 5, 0),)</f>
        <v>NTRN11000</v>
      </c>
      <c r="I139" s="90">
        <f ca="1">IFERROR( VLOOKUP(A139, '1C'!C:I, 7, 0),)</f>
        <v>0</v>
      </c>
      <c r="J139" s="91" t="str">
        <f ca="1">IFERROR(
  VLOOKUP(A139, '1C'!C:H, 6, 0),)</f>
        <v>8536 49 00 90</v>
      </c>
      <c r="K139" s="86"/>
      <c r="L139" s="92"/>
    </row>
    <row r="140" spans="1:12" ht="14.4">
      <c r="A140" s="88" t="str">
        <f ca="1">IFERROR(__xludf.DUMMYFUNCTION("iferror(IFERROR(
HYPERLINK(
  VLOOKUP(
    INDEX(UNIQUE(FLATTEN({'1C'!$W$2:W200,'1C'!$C$2:C200})), ROW(A138)), 
    '1C'!C:O, 12, 0),
  INDEX(UNIQUE(FLATTEN({'1C'!$W$2:W200,'1C'!$C$2:C200})), ROW(A138))),
MATCH(INDEX(UNIQUE(FLATTEN({'1C'!$W$2:W200,'1C'!$C"&amp;"$2:C200})), ROW(A138)), L$3:L200, 0)
),)"),"RN-111m")</f>
        <v>RN-111m</v>
      </c>
      <c r="B140" s="108">
        <f ca="1">IFERROR(
  VLOOKUP(A140, '1C'!C:E, 3, 0),)</f>
        <v>29</v>
      </c>
      <c r="C140" s="108">
        <f ca="1">IFERROR(
  VLOOKUP(A140, '1C'!C:Z, 24, 0),)</f>
        <v>29</v>
      </c>
      <c r="D140" s="80" t="str">
        <f ca="1">IFERROR(
  VLOOKUP(A140, '1C'!C:K, 9, 0),)</f>
        <v xml:space="preserve">Umin and Umax control disconnection </v>
      </c>
      <c r="E140" s="81" t="str">
        <f ca="1">IFERROR(
  VLOOKUP(A140, '1C'!C:Q, 15, 0),)</f>
        <v>DIN</v>
      </c>
      <c r="F140" s="82">
        <f ca="1">IFERROR(
  VLOOKUP(A140, '1C'!C:S, 17, 0),)</f>
        <v>2</v>
      </c>
      <c r="G140" s="83" t="str">
        <f ca="1">IFERROR(
  VLOOKUP(A140, '1C'!C:U, 19, 0),)</f>
        <v>16А</v>
      </c>
      <c r="H140" s="81" t="str">
        <f ca="1">IFERROR(
  VLOOKUP(A140, '1C'!C:G, 5, 0),)</f>
        <v>NTRN111M0</v>
      </c>
      <c r="I140" s="90">
        <f ca="1">IFERROR( VLOOKUP(A140, '1C'!C:I, 7, 0),)</f>
        <v>0</v>
      </c>
      <c r="J140" s="91" t="str">
        <f ca="1">IFERROR(
  VLOOKUP(A140, '1C'!C:H, 6, 0),)</f>
        <v>8536 49 00 90</v>
      </c>
      <c r="K140" s="86"/>
      <c r="L140" s="92"/>
    </row>
    <row r="141" spans="1:12" ht="14.4">
      <c r="A141" s="88" t="str">
        <f ca="1">IFERROR(__xludf.DUMMYFUNCTION("iferror(IFERROR(
HYPERLINK(
  VLOOKUP(
    INDEX(UNIQUE(FLATTEN({'1C'!$W$2:W200,'1C'!$C$2:C200})), ROW(A139)), 
    '1C'!C:O, 12, 0),
  INDEX(UNIQUE(FLATTEN({'1C'!$W$2:W200,'1C'!$C$2:C200})), ROW(A139))),
MATCH(INDEX(UNIQUE(FLATTEN({'1C'!$W$2:W200,'1C'!$C"&amp;"$2:C200})), ROW(A139)), L$3:L200, 0)
),)"),"RN-118")</f>
        <v>RN-118</v>
      </c>
      <c r="B141" s="108">
        <f ca="1">IFERROR(
  VLOOKUP(A141, '1C'!C:E, 3, 0),)</f>
        <v>24</v>
      </c>
      <c r="C141" s="108">
        <f ca="1">IFERROR(
  VLOOKUP(A141, '1C'!C:Z, 24, 0),)</f>
        <v>24</v>
      </c>
      <c r="D141" s="80" t="str">
        <f ca="1">IFERROR(
  VLOOKUP(A141, '1C'!C:K, 9, 0),)</f>
        <v>Button control, voltage fixation at disconnection</v>
      </c>
      <c r="E141" s="81" t="str">
        <f ca="1">IFERROR(
  VLOOKUP(A141, '1C'!C:Q, 15, 0),)</f>
        <v>DIN</v>
      </c>
      <c r="F141" s="82">
        <f ca="1">IFERROR(
  VLOOKUP(A141, '1C'!C:S, 17, 0),)</f>
        <v>1</v>
      </c>
      <c r="G141" s="83" t="str">
        <f ca="1">IFERROR(
  VLOOKUP(A141, '1C'!C:U, 19, 0),)</f>
        <v>10А</v>
      </c>
      <c r="H141" s="81" t="str">
        <f ca="1">IFERROR(
  VLOOKUP(A141, '1C'!C:G, 5, 0),)</f>
        <v>NTRN11800</v>
      </c>
      <c r="I141" s="90">
        <f ca="1">IFERROR( VLOOKUP(A141, '1C'!C:I, 7, 0),)</f>
        <v>4820122950214</v>
      </c>
      <c r="J141" s="91" t="str">
        <f ca="1">IFERROR(
  VLOOKUP(A141, '1C'!C:H, 6, 0),)</f>
        <v>8536 49 00 90</v>
      </c>
      <c r="K141" s="86"/>
      <c r="L141" s="92"/>
    </row>
    <row r="142" spans="1:12" ht="14.4">
      <c r="A142" s="88" t="str">
        <f ca="1">IFERROR(__xludf.DUMMYFUNCTION("iferror(IFERROR(
HYPERLINK(
  VLOOKUP(
    INDEX(UNIQUE(FLATTEN({'1C'!$W$2:W200,'1C'!$C$2:C200})), ROW(A140)), 
    '1C'!C:O, 12, 0),
  INDEX(UNIQUE(FLATTEN({'1C'!$W$2:W200,'1C'!$C$2:C200})), ROW(A140))),
MATCH(INDEX(UNIQUE(FLATTEN({'1C'!$W$2:W200,'1C'!$C"&amp;"$2:C200})), ROW(A140)), L$3:L200, 0)
),)"),"RN-119")</f>
        <v>RN-119</v>
      </c>
      <c r="B142" s="108">
        <f ca="1">IFERROR(
  VLOOKUP(A142, '1C'!C:E, 3, 0),)</f>
        <v>28</v>
      </c>
      <c r="C142" s="108">
        <f ca="1">IFERROR(
  VLOOKUP(A142, '1C'!C:Z, 24, 0),)</f>
        <v>28</v>
      </c>
      <c r="D142" s="80" t="str">
        <f ca="1">IFERROR(
  VLOOKUP(A142, '1C'!C:K, 9, 0),)</f>
        <v>Button control, voltage fixation at disconnection</v>
      </c>
      <c r="E142" s="81" t="str">
        <f ca="1">IFERROR(
  VLOOKUP(A142, '1C'!C:Q, 15, 0),)</f>
        <v>DIN</v>
      </c>
      <c r="F142" s="82">
        <f ca="1">IFERROR(
  VLOOKUP(A142, '1C'!C:S, 17, 0),)</f>
        <v>1</v>
      </c>
      <c r="G142" s="83" t="str">
        <f ca="1">IFERROR(
  VLOOKUP(A142, '1C'!C:U, 19, 0),)</f>
        <v>16А</v>
      </c>
      <c r="H142" s="81" t="str">
        <f ca="1">IFERROR(
  VLOOKUP(A142, '1C'!C:G, 5, 0),)</f>
        <v>NTRN11900</v>
      </c>
      <c r="I142" s="90">
        <f ca="1">IFERROR( VLOOKUP(A142, '1C'!C:I, 7, 0),)</f>
        <v>4820122950221</v>
      </c>
      <c r="J142" s="91" t="str">
        <f ca="1">IFERROR(
  VLOOKUP(A142, '1C'!C:H, 6, 0),)</f>
        <v>8536 49 00 90</v>
      </c>
      <c r="K142" s="86"/>
      <c r="L142" s="92"/>
    </row>
    <row r="143" spans="1:12" ht="14.4">
      <c r="A143" s="88" t="str">
        <f ca="1">IFERROR(__xludf.DUMMYFUNCTION("iferror(IFERROR(
HYPERLINK(
  VLOOKUP(
    INDEX(UNIQUE(FLATTEN({'1C'!$W$2:W200,'1C'!$C$2:C200})), ROW(A141)), 
    '1C'!C:O, 12, 0),
  INDEX(UNIQUE(FLATTEN({'1C'!$W$2:W200,'1C'!$C$2:C200})), ROW(A141))),
MATCH(INDEX(UNIQUE(FLATTEN({'1C'!$W$2:W200,'1C'!$C"&amp;"$2:C200})), ROW(A141)), L$3:L200, 0)
),)"),"RN-113")</f>
        <v>RN-113</v>
      </c>
      <c r="B143" s="108" t="str">
        <f ca="1">IFERROR(
  VLOOKUP(A143, '1C'!C:E, 3, 0),)</f>
        <v>out of production</v>
      </c>
      <c r="C143" s="108" t="str">
        <f ca="1">IFERROR(
  VLOOKUP(A143, '1C'!C:Z, 24, 0),)</f>
        <v>out of production</v>
      </c>
      <c r="D143" s="80" t="str">
        <f ca="1">IFERROR(
  VLOOKUP(A143, '1C'!C:K, 9, 0),)</f>
        <v xml:space="preserve">Umin and Umax control disconnection </v>
      </c>
      <c r="E143" s="81" t="str">
        <f ca="1">IFERROR(
  VLOOKUP(A143, '1C'!C:Q, 15, 0),)</f>
        <v>Socket</v>
      </c>
      <c r="F143" s="82">
        <f ca="1">IFERROR(
  VLOOKUP(A143, '1C'!C:S, 17, 0),)</f>
        <v>4</v>
      </c>
      <c r="G143" s="83" t="str">
        <f ca="1">IFERROR(
  VLOOKUP(A143, '1C'!C:U, 19, 0),)</f>
        <v>32А</v>
      </c>
      <c r="H143" s="81" t="str">
        <f ca="1">IFERROR(
  VLOOKUP(A143, '1C'!C:G, 5, 0),)</f>
        <v>NTRN11300</v>
      </c>
      <c r="I143" s="90" t="str">
        <f ca="1">IFERROR( VLOOKUP(A143, '1C'!C:I, 7, 0),)</f>
        <v>-</v>
      </c>
      <c r="J143" s="91" t="str">
        <f ca="1">IFERROR(
  VLOOKUP(A143, '1C'!C:H, 6, 0),)</f>
        <v>8536 49 00 90</v>
      </c>
      <c r="K143" s="86"/>
      <c r="L143" s="92"/>
    </row>
    <row r="144" spans="1:12" ht="14.4">
      <c r="A144" s="93" t="str">
        <f ca="1">IFERROR(__xludf.DUMMYFUNCTION("iferror(IFERROR(
HYPERLINK(
  VLOOKUP(
    INDEX(UNIQUE(FLATTEN({'1C'!$W$2:W200,'1C'!$C$2:C200})), ROW(A142)), 
    '1C'!C:O, 12, 0),
  INDEX(UNIQUE(FLATTEN({'1C'!$W$2:W200,'1C'!$C$2:C200})), ROW(A142))),
MATCH(INDEX(UNIQUE(FLATTEN({'1C'!$W$2:W200,'1C'!$C"&amp;"$2:C200})), ROW(A142)), L$3:L200, 0)
),)"),"RN-25t")</f>
        <v>RN-25t</v>
      </c>
      <c r="B144" s="108">
        <f ca="1">IFERROR(
  VLOOKUP(A144, '1C'!C:E, 3, 0),)</f>
        <v>24</v>
      </c>
      <c r="C144" s="108">
        <f ca="1">IFERROR(
  VLOOKUP(A144, '1C'!C:Z, 24, 0),)</f>
        <v>27</v>
      </c>
      <c r="D144" s="80" t="str">
        <f ca="1">IFERROR(
  VLOOKUP(A144, '1C'!C:K, 9, 0),)</f>
        <v>Upgraded, with thermal protection, top and bottom terminals, breakdown log</v>
      </c>
      <c r="E144" s="81" t="str">
        <f ca="1">IFERROR(
  VLOOKUP(A144, '1C'!C:Q, 15, 0),)</f>
        <v>DIN</v>
      </c>
      <c r="F144" s="82">
        <f ca="1">IFERROR(
  VLOOKUP(A144, '1C'!C:S, 17, 0),)</f>
        <v>2</v>
      </c>
      <c r="G144" s="83" t="str">
        <f ca="1">IFERROR(
  VLOOKUP(A144, '1C'!C:U, 19, 0),)</f>
        <v>25А</v>
      </c>
      <c r="H144" s="81" t="str">
        <f ca="1">IFERROR(
  VLOOKUP(A144, '1C'!C:G, 5, 0),)</f>
        <v>NTRN02502</v>
      </c>
      <c r="I144" s="90">
        <f ca="1">IFERROR( VLOOKUP(A144, '1C'!C:I, 7, 0),)</f>
        <v>4820122950351</v>
      </c>
      <c r="J144" s="91" t="str">
        <f ca="1">IFERROR(
  VLOOKUP(A144, '1C'!C:H, 6, 0),)</f>
        <v>8536 49 00 90</v>
      </c>
      <c r="K144" s="86"/>
      <c r="L144" s="92"/>
    </row>
    <row r="145" spans="1:12" ht="14.4">
      <c r="A145" s="93" t="str">
        <f ca="1">IFERROR(__xludf.DUMMYFUNCTION("iferror(IFERROR(
HYPERLINK(
  VLOOKUP(
    INDEX(UNIQUE(FLATTEN({'1C'!$W$2:W200,'1C'!$C$2:C200})), ROW(A143)), 
    '1C'!C:O, 12, 0),
  INDEX(UNIQUE(FLATTEN({'1C'!$W$2:W200,'1C'!$C$2:C200})), ROW(A143))),
MATCH(INDEX(UNIQUE(FLATTEN({'1C'!$W$2:W200,'1C'!$C"&amp;"$2:C200})), ROW(A143)), L$3:L200, 0)
),)"),"RN-32t")</f>
        <v>RN-32t</v>
      </c>
      <c r="B145" s="108">
        <f ca="1">IFERROR(
  VLOOKUP(A145, '1C'!C:E, 3, 0),)</f>
        <v>26</v>
      </c>
      <c r="C145" s="108">
        <f ca="1">IFERROR(
  VLOOKUP(A145, '1C'!C:Z, 24, 0),)</f>
        <v>29</v>
      </c>
      <c r="D145" s="80" t="str">
        <f ca="1">IFERROR(
  VLOOKUP(A145, '1C'!C:K, 9, 0),)</f>
        <v>Upgraded, with thermal protection, top and bottom terminals, breakdown log</v>
      </c>
      <c r="E145" s="81" t="str">
        <f ca="1">IFERROR(
  VLOOKUP(A145, '1C'!C:Q, 15, 0),)</f>
        <v>DIN</v>
      </c>
      <c r="F145" s="82">
        <f ca="1">IFERROR(
  VLOOKUP(A145, '1C'!C:S, 17, 0),)</f>
        <v>2</v>
      </c>
      <c r="G145" s="83" t="str">
        <f ca="1">IFERROR(
  VLOOKUP(A145, '1C'!C:U, 19, 0),)</f>
        <v>32А</v>
      </c>
      <c r="H145" s="81" t="str">
        <f ca="1">IFERROR(
  VLOOKUP(A145, '1C'!C:G, 5, 0),)</f>
        <v>NTRN03202</v>
      </c>
      <c r="I145" s="90">
        <f ca="1">IFERROR( VLOOKUP(A145, '1C'!C:I, 7, 0),)</f>
        <v>4820122950368</v>
      </c>
      <c r="J145" s="91" t="str">
        <f ca="1">IFERROR(
  VLOOKUP(A145, '1C'!C:H, 6, 0),)</f>
        <v>8536 49 00 90</v>
      </c>
      <c r="K145" s="86"/>
      <c r="L145" s="92"/>
    </row>
    <row r="146" spans="1:12" ht="26.4">
      <c r="A146" s="93" t="str">
        <f ca="1">IFERROR(__xludf.DUMMYFUNCTION("iferror(IFERROR(
HYPERLINK(
  VLOOKUP(
    INDEX(UNIQUE(FLATTEN({'1C'!$W$2:W200,'1C'!$C$2:C200})), ROW(A144)), 
    '1C'!C:O, 12, 0),
  INDEX(UNIQUE(FLATTEN({'1C'!$W$2:W200,'1C'!$C$2:C200})), ROW(A144))),
MATCH(INDEX(UNIQUE(FLATTEN({'1C'!$W$2:W200,'1C'!$C"&amp;"$2:C200})), ROW(A144)), L$3:L200, 0)
),)"),"RN-40tc")</f>
        <v>RN-40tc</v>
      </c>
      <c r="B146" s="108">
        <f ca="1">IFERROR(
  VLOOKUP(A146, '1C'!C:E, 3, 0),)</f>
        <v>29</v>
      </c>
      <c r="C146" s="108">
        <f ca="1">IFERROR(
  VLOOKUP(A146, '1C'!C:Z, 24, 0),)</f>
        <v>33</v>
      </c>
      <c r="D146" s="80" t="str">
        <f ca="1">IFERROR(
  VLOOKUP(A146, '1C'!C:K, 9, 0),)</f>
        <v>Upgraded, with thermal protection, top and bottom terminals, breakdown log, temperature sensors at each terminal</v>
      </c>
      <c r="E146" s="81" t="str">
        <f ca="1">IFERROR(
  VLOOKUP(A146, '1C'!C:Q, 15, 0),)</f>
        <v>DIN</v>
      </c>
      <c r="F146" s="82">
        <f ca="1">IFERROR(
  VLOOKUP(A146, '1C'!C:S, 17, 0),)</f>
        <v>2</v>
      </c>
      <c r="G146" s="83" t="str">
        <f ca="1">IFERROR(
  VLOOKUP(A146, '1C'!C:U, 19, 0),)</f>
        <v>40А</v>
      </c>
      <c r="H146" s="81" t="str">
        <f ca="1">IFERROR(
  VLOOKUP(A146, '1C'!C:G, 5, 0),)</f>
        <v>NTRN04002</v>
      </c>
      <c r="I146" s="90">
        <f ca="1">IFERROR( VLOOKUP(A146, '1C'!C:I, 7, 0),)</f>
        <v>4820122950375</v>
      </c>
      <c r="J146" s="91" t="str">
        <f ca="1">IFERROR(
  VLOOKUP(A146, '1C'!C:H, 6, 0),)</f>
        <v>8536 49 00 90</v>
      </c>
      <c r="K146" s="86"/>
      <c r="L146" s="92"/>
    </row>
    <row r="147" spans="1:12" ht="26.4">
      <c r="A147" s="93" t="str">
        <f ca="1">IFERROR(__xludf.DUMMYFUNCTION("iferror(IFERROR(
HYPERLINK(
  VLOOKUP(
    INDEX(UNIQUE(FLATTEN({'1C'!$W$2:W200,'1C'!$C$2:C200})), ROW(A145)), 
    '1C'!C:O, 12, 0),
  INDEX(UNIQUE(FLATTEN({'1C'!$W$2:W200,'1C'!$C$2:C200})), ROW(A145))),
MATCH(INDEX(UNIQUE(FLATTEN({'1C'!$W$2:W200,'1C'!$C"&amp;"$2:C200})), ROW(A145)), L$3:L200, 0)
),)"),"RN-50tc")</f>
        <v>RN-50tc</v>
      </c>
      <c r="B147" s="108">
        <f ca="1">IFERROR(
  VLOOKUP(A147, '1C'!C:E, 3, 0),)</f>
        <v>31</v>
      </c>
      <c r="C147" s="108">
        <f ca="1">IFERROR(
  VLOOKUP(A147, '1C'!C:Z, 24, 0),)</f>
        <v>35</v>
      </c>
      <c r="D147" s="80" t="str">
        <f ca="1">IFERROR(
  VLOOKUP(A147, '1C'!C:K, 9, 0),)</f>
        <v>Upgraded, with thermal protection, top and bottom terminals, breakdown log, temperature sensors at each terminal</v>
      </c>
      <c r="E147" s="81" t="str">
        <f ca="1">IFERROR(
  VLOOKUP(A147, '1C'!C:Q, 15, 0),)</f>
        <v>DIN</v>
      </c>
      <c r="F147" s="82">
        <f ca="1">IFERROR(
  VLOOKUP(A147, '1C'!C:S, 17, 0),)</f>
        <v>2</v>
      </c>
      <c r="G147" s="83" t="str">
        <f ca="1">IFERROR(
  VLOOKUP(A147, '1C'!C:U, 19, 0),)</f>
        <v>50А</v>
      </c>
      <c r="H147" s="81" t="str">
        <f ca="1">IFERROR(
  VLOOKUP(A147, '1C'!C:G, 5, 0),)</f>
        <v>NTRN05002</v>
      </c>
      <c r="I147" s="90">
        <f ca="1">IFERROR( VLOOKUP(A147, '1C'!C:I, 7, 0),)</f>
        <v>4820122950382</v>
      </c>
      <c r="J147" s="91" t="str">
        <f ca="1">IFERROR(
  VLOOKUP(A147, '1C'!C:H, 6, 0),)</f>
        <v>8536 49 00 90</v>
      </c>
      <c r="K147" s="86"/>
      <c r="L147" s="92"/>
    </row>
    <row r="148" spans="1:12" ht="26.4">
      <c r="A148" s="93" t="str">
        <f ca="1">IFERROR(__xludf.DUMMYFUNCTION("iferror(IFERROR(
HYPERLINK(
  VLOOKUP(
    INDEX(UNIQUE(FLATTEN({'1C'!$W$2:W200,'1C'!$C$2:C200})), ROW(A146)), 
    '1C'!C:O, 12, 0),
  INDEX(UNIQUE(FLATTEN({'1C'!$W$2:W200,'1C'!$C$2:C200})), ROW(A146))),
MATCH(INDEX(UNIQUE(FLATTEN({'1C'!$W$2:W200,'1C'!$C"&amp;"$2:C200})), ROW(A146)), L$3:L200, 0)
),)"),"RN-63tc")</f>
        <v>RN-63tc</v>
      </c>
      <c r="B148" s="108">
        <f ca="1">IFERROR(
  VLOOKUP(A148, '1C'!C:E, 3, 0),)</f>
        <v>34</v>
      </c>
      <c r="C148" s="108">
        <f ca="1">IFERROR(
  VLOOKUP(A148, '1C'!C:Z, 24, 0),)</f>
        <v>38</v>
      </c>
      <c r="D148" s="80" t="str">
        <f ca="1">IFERROR(
  VLOOKUP(A148, '1C'!C:K, 9, 0),)</f>
        <v>Upgraded, with thermal protection, top and bottom terminals, breakdown log, temperature sensors at each terminal</v>
      </c>
      <c r="E148" s="81" t="str">
        <f ca="1">IFERROR(
  VLOOKUP(A148, '1C'!C:Q, 15, 0),)</f>
        <v>DIN</v>
      </c>
      <c r="F148" s="82">
        <f ca="1">IFERROR(
  VLOOKUP(A148, '1C'!C:S, 17, 0),)</f>
        <v>2</v>
      </c>
      <c r="G148" s="83" t="str">
        <f ca="1">IFERROR(
  VLOOKUP(A148, '1C'!C:U, 19, 0),)</f>
        <v>63А</v>
      </c>
      <c r="H148" s="81" t="str">
        <f ca="1">IFERROR(
  VLOOKUP(A148, '1C'!C:G, 5, 0),)</f>
        <v>NTRN06302</v>
      </c>
      <c r="I148" s="90">
        <f ca="1">IFERROR( VLOOKUP(A148, '1C'!C:I, 7, 0),)</f>
        <v>4820122950399</v>
      </c>
      <c r="J148" s="91" t="str">
        <f ca="1">IFERROR(
  VLOOKUP(A148, '1C'!C:H, 6, 0),)</f>
        <v>8536 49 00 90</v>
      </c>
      <c r="K148" s="86"/>
      <c r="L148" s="92"/>
    </row>
    <row r="149" spans="1:12" ht="14.4">
      <c r="A149" s="93" t="str">
        <f ca="1">IFERROR(__xludf.DUMMYFUNCTION("iferror(IFERROR(
HYPERLINK(
  VLOOKUP(
    INDEX(UNIQUE(FLATTEN({'1C'!$W$2:W200,'1C'!$C$2:C200})), ROW(A147)), 
    '1C'!C:O, 12, 0),
  INDEX(UNIQUE(FLATTEN({'1C'!$W$2:W200,'1C'!$C$2:C200})), ROW(A147))),
MATCH(INDEX(UNIQUE(FLATTEN({'1C'!$W$2:W200,'1C'!$C"&amp;"$2:C200})), ROW(A147)), L$3:L200, 0)
),)"),"PH-104")</f>
        <v>PH-104</v>
      </c>
      <c r="B149" s="108" t="str">
        <f ca="1">IFERROR(
  VLOOKUP(A149, '1C'!C:E, 3, 0),)</f>
        <v>out of production</v>
      </c>
      <c r="C149" s="108" t="str">
        <f ca="1">IFERROR(
  VLOOKUP(A149, '1C'!C:Z, 24, 0),)</f>
        <v>out of production</v>
      </c>
      <c r="D149" s="80" t="str">
        <f ca="1">IFERROR(
  VLOOKUP(A149, '1C'!C:K, 9, 0),)</f>
        <v>Single-phase, terminals at the bottom, voltage relay only</v>
      </c>
      <c r="E149" s="81" t="str">
        <f ca="1">IFERROR(
  VLOOKUP(A149, '1C'!C:Q, 15, 0),)</f>
        <v>DIN</v>
      </c>
      <c r="F149" s="82">
        <f ca="1">IFERROR(
  VLOOKUP(A149, '1C'!C:S, 17, 0),)</f>
        <v>3</v>
      </c>
      <c r="G149" s="83" t="str">
        <f ca="1">IFERROR(
  VLOOKUP(A149, '1C'!C:U, 19, 0),)</f>
        <v>40A</v>
      </c>
      <c r="H149" s="81" t="str">
        <f ca="1">IFERROR(
  VLOOKUP(A149, '1C'!C:G, 5, 0),)</f>
        <v>NTPH10403</v>
      </c>
      <c r="I149" s="90" t="str">
        <f ca="1">IFERROR( VLOOKUP(A149, '1C'!C:I, 7, 0),)</f>
        <v>-</v>
      </c>
      <c r="J149" s="91" t="str">
        <f ca="1">IFERROR(
  VLOOKUP(A149, '1C'!C:H, 6, 0),)</f>
        <v>8536 49 00 90</v>
      </c>
      <c r="K149" s="86"/>
      <c r="L149" s="92"/>
    </row>
    <row r="150" spans="1:12" ht="14.4">
      <c r="A150" s="93" t="str">
        <f ca="1">IFERROR(__xludf.DUMMYFUNCTION("iferror(IFERROR(
HYPERLINK(
  VLOOKUP(
    INDEX(UNIQUE(FLATTEN({'1C'!$W$2:W200,'1C'!$C$2:C200})), ROW(A148)), 
    '1C'!C:O, 12, 0),
  INDEX(UNIQUE(FLATTEN({'1C'!$W$2:W200,'1C'!$C$2:C200})), ROW(A148))),
MATCH(INDEX(UNIQUE(FLATTEN({'1C'!$W$2:W200,'1C'!$C"&amp;"$2:C200})), ROW(A148)), L$3:L200, 0)
),)"),"PH-106")</f>
        <v>PH-106</v>
      </c>
      <c r="B150" s="108" t="str">
        <f ca="1">IFERROR(
  VLOOKUP(A150, '1C'!C:E, 3, 0),)</f>
        <v>out of production</v>
      </c>
      <c r="C150" s="108" t="str">
        <f ca="1">IFERROR(
  VLOOKUP(A150, '1C'!C:Z, 24, 0),)</f>
        <v>out of production</v>
      </c>
      <c r="D150" s="80" t="str">
        <f ca="1">IFERROR(
  VLOOKUP(A150, '1C'!C:K, 9, 0),)</f>
        <v>Single-phase, terminals at the bottom, voltage relay only</v>
      </c>
      <c r="E150" s="81" t="str">
        <f ca="1">IFERROR(
  VLOOKUP(A150, '1C'!C:Q, 15, 0),)</f>
        <v>DIN</v>
      </c>
      <c r="F150" s="82">
        <f ca="1">IFERROR(
  VLOOKUP(A150, '1C'!C:S, 17, 0),)</f>
        <v>3</v>
      </c>
      <c r="G150" s="83" t="str">
        <f ca="1">IFERROR(
  VLOOKUP(A150, '1C'!C:U, 19, 0),)</f>
        <v>63A</v>
      </c>
      <c r="H150" s="81" t="str">
        <f ca="1">IFERROR(
  VLOOKUP(A150, '1C'!C:G, 5, 0),)</f>
        <v>NTPH10603</v>
      </c>
      <c r="I150" s="90" t="str">
        <f ca="1">IFERROR( VLOOKUP(A150, '1C'!C:I, 7, 0),)</f>
        <v>-</v>
      </c>
      <c r="J150" s="91" t="str">
        <f ca="1">IFERROR(
  VLOOKUP(A150, '1C'!C:H, 6, 0),)</f>
        <v>8536 49 00 90</v>
      </c>
      <c r="K150" s="86"/>
      <c r="L150" s="92"/>
    </row>
    <row r="151" spans="1:12" ht="14.4">
      <c r="A151" s="88" t="str">
        <f ca="1">IFERROR(__xludf.DUMMYFUNCTION("iferror(IFERROR(
HYPERLINK(
  VLOOKUP(
    INDEX(UNIQUE(FLATTEN({'1C'!$W$2:W200,'1C'!$C$2:C200})), ROW(A149)), 
    '1C'!C:O, 12, 0),
  INDEX(UNIQUE(FLATTEN({'1C'!$W$2:W200,'1C'!$C$2:C200})), ROW(A149))),
MATCH(INDEX(UNIQUE(FLATTEN({'1C'!$W$2:W200,'1C'!$C"&amp;"$2:C200})), ROW(A149)), L$3:L200, 0)
),)"),"RN-125")</f>
        <v>RN-125</v>
      </c>
      <c r="B151" s="108">
        <f ca="1">IFERROR(
  VLOOKUP(A151, '1C'!C:E, 3, 0),)</f>
        <v>19</v>
      </c>
      <c r="C151" s="108">
        <f ca="1">IFERROR(
  VLOOKUP(A151, '1C'!C:Z, 24, 0),)</f>
        <v>21</v>
      </c>
      <c r="D151" s="80" t="str">
        <f ca="1">IFERROR(
  VLOOKUP(A151, '1C'!C:K, 9, 0),)</f>
        <v>Single-phase, terminals at the bottom, voltage relay only</v>
      </c>
      <c r="E151" s="81" t="str">
        <f ca="1">IFERROR(
  VLOOKUP(A151, '1C'!C:Q, 15, 0),)</f>
        <v>DIN</v>
      </c>
      <c r="F151" s="82">
        <f ca="1">IFERROR(
  VLOOKUP(A151, '1C'!C:S, 17, 0),)</f>
        <v>3</v>
      </c>
      <c r="G151" s="83" t="str">
        <f ca="1">IFERROR(
  VLOOKUP(A151, '1C'!C:U, 19, 0),)</f>
        <v>25А</v>
      </c>
      <c r="H151" s="81" t="str">
        <f ca="1">IFERROR(
  VLOOKUP(A151, '1C'!C:G, 5, 0),)</f>
        <v>NTRN12503</v>
      </c>
      <c r="I151" s="90" t="str">
        <f ca="1">IFERROR( VLOOKUP(A151, '1C'!C:I, 7, 0),)</f>
        <v>-</v>
      </c>
      <c r="J151" s="91" t="str">
        <f ca="1">IFERROR(
  VLOOKUP(A151, '1C'!C:H, 6, 0),)</f>
        <v>8536 49 00 90</v>
      </c>
      <c r="K151" s="86"/>
      <c r="L151" s="92"/>
    </row>
    <row r="152" spans="1:12" ht="14.4">
      <c r="A152" s="88" t="str">
        <f ca="1">IFERROR(__xludf.DUMMYFUNCTION("iferror(IFERROR(
HYPERLINK(
  VLOOKUP(
    INDEX(UNIQUE(FLATTEN({'1C'!$W$2:W200,'1C'!$C$2:C200})), ROW(A150)), 
    '1C'!C:O, 12, 0),
  INDEX(UNIQUE(FLATTEN({'1C'!$W$2:W200,'1C'!$C$2:C200})), ROW(A150))),
MATCH(INDEX(UNIQUE(FLATTEN({'1C'!$W$2:W200,'1C'!$C"&amp;"$2:C200})), ROW(A150)), L$3:L200, 0)
),)"),"RN-132")</f>
        <v>RN-132</v>
      </c>
      <c r="B152" s="108">
        <f ca="1">IFERROR(
  VLOOKUP(A152, '1C'!C:E, 3, 0),)</f>
        <v>20</v>
      </c>
      <c r="C152" s="108">
        <f ca="1">IFERROR(
  VLOOKUP(A152, '1C'!C:Z, 24, 0),)</f>
        <v>23</v>
      </c>
      <c r="D152" s="80" t="str">
        <f ca="1">IFERROR(
  VLOOKUP(A152, '1C'!C:K, 9, 0),)</f>
        <v>Single-phase, terminals at the bottom, voltage relay only</v>
      </c>
      <c r="E152" s="81" t="str">
        <f ca="1">IFERROR(
  VLOOKUP(A152, '1C'!C:Q, 15, 0),)</f>
        <v>DIN</v>
      </c>
      <c r="F152" s="82">
        <f ca="1">IFERROR(
  VLOOKUP(A152, '1C'!C:S, 17, 0),)</f>
        <v>3</v>
      </c>
      <c r="G152" s="83" t="str">
        <f ca="1">IFERROR(
  VLOOKUP(A152, '1C'!C:U, 19, 0),)</f>
        <v>32А</v>
      </c>
      <c r="H152" s="81" t="str">
        <f ca="1">IFERROR(
  VLOOKUP(A152, '1C'!C:G, 5, 0),)</f>
        <v>NTRN13203</v>
      </c>
      <c r="I152" s="90" t="str">
        <f ca="1">IFERROR( VLOOKUP(A152, '1C'!C:I, 7, 0),)</f>
        <v>-</v>
      </c>
      <c r="J152" s="91" t="str">
        <f ca="1">IFERROR(
  VLOOKUP(A152, '1C'!C:H, 6, 0),)</f>
        <v>8536 49 00 90</v>
      </c>
      <c r="K152" s="86"/>
      <c r="L152" s="92"/>
    </row>
    <row r="153" spans="1:12" ht="14.4">
      <c r="A153" s="88" t="str">
        <f ca="1">IFERROR(__xludf.DUMMYFUNCTION("iferror(IFERROR(
HYPERLINK(
  VLOOKUP(
    INDEX(UNIQUE(FLATTEN({'1C'!$W$2:W200,'1C'!$C$2:C200})), ROW(A151)), 
    '1C'!C:O, 12, 0),
  INDEX(UNIQUE(FLATTEN({'1C'!$W$2:W200,'1C'!$C$2:C200})), ROW(A151))),
MATCH(INDEX(UNIQUE(FLATTEN({'1C'!$W$2:W200,'1C'!$C"&amp;"$2:C200})), ROW(A151)), L$3:L200, 0)
),)"),"RN-140")</f>
        <v>RN-140</v>
      </c>
      <c r="B153" s="108">
        <f ca="1">IFERROR(
  VLOOKUP(A153, '1C'!C:E, 3, 0),)</f>
        <v>23</v>
      </c>
      <c r="C153" s="108">
        <f ca="1">IFERROR(
  VLOOKUP(A153, '1C'!C:Z, 24, 0),)</f>
        <v>26</v>
      </c>
      <c r="D153" s="80" t="str">
        <f ca="1">IFERROR(
  VLOOKUP(A153, '1C'!C:K, 9, 0),)</f>
        <v>Single-phase, terminals at the bottom, voltage relay only</v>
      </c>
      <c r="E153" s="81" t="str">
        <f ca="1">IFERROR(
  VLOOKUP(A153, '1C'!C:Q, 15, 0),)</f>
        <v>DIN</v>
      </c>
      <c r="F153" s="82">
        <f ca="1">IFERROR(
  VLOOKUP(A153, '1C'!C:S, 17, 0),)</f>
        <v>3</v>
      </c>
      <c r="G153" s="83" t="str">
        <f ca="1">IFERROR(
  VLOOKUP(A153, '1C'!C:U, 19, 0),)</f>
        <v>40А</v>
      </c>
      <c r="H153" s="81" t="str">
        <f ca="1">IFERROR(
  VLOOKUP(A153, '1C'!C:G, 5, 0),)</f>
        <v>NTRN14003</v>
      </c>
      <c r="I153" s="90" t="str">
        <f ca="1">IFERROR( VLOOKUP(A153, '1C'!C:I, 7, 0),)</f>
        <v>-</v>
      </c>
      <c r="J153" s="91" t="str">
        <f ca="1">IFERROR(
  VLOOKUP(A153, '1C'!C:H, 6, 0),)</f>
        <v>8536 49 00 90</v>
      </c>
      <c r="K153" s="86"/>
      <c r="L153" s="92"/>
    </row>
    <row r="154" spans="1:12" ht="14.4">
      <c r="A154" s="88" t="str">
        <f ca="1">IFERROR(__xludf.DUMMYFUNCTION("iferror(IFERROR(
HYPERLINK(
  VLOOKUP(
    INDEX(UNIQUE(FLATTEN({'1C'!$W$2:W200,'1C'!$C$2:C200})), ROW(A152)), 
    '1C'!C:O, 12, 0),
  INDEX(UNIQUE(FLATTEN({'1C'!$W$2:W200,'1C'!$C$2:C200})), ROW(A152))),
MATCH(INDEX(UNIQUE(FLATTEN({'1C'!$W$2:W200,'1C'!$C"&amp;"$2:C200})), ROW(A152)), L$3:L200, 0)
),)"),"RN-150")</f>
        <v>RN-150</v>
      </c>
      <c r="B154" s="108">
        <f ca="1">IFERROR(
  VLOOKUP(A154, '1C'!C:E, 3, 0),)</f>
        <v>25</v>
      </c>
      <c r="C154" s="108">
        <f ca="1">IFERROR(
  VLOOKUP(A154, '1C'!C:Z, 24, 0),)</f>
        <v>28</v>
      </c>
      <c r="D154" s="80" t="str">
        <f ca="1">IFERROR(
  VLOOKUP(A154, '1C'!C:K, 9, 0),)</f>
        <v>Single-phase, terminals at the bottom, voltage relay only</v>
      </c>
      <c r="E154" s="81" t="str">
        <f ca="1">IFERROR(
  VLOOKUP(A154, '1C'!C:Q, 15, 0),)</f>
        <v>DIN</v>
      </c>
      <c r="F154" s="82">
        <f ca="1">IFERROR(
  VLOOKUP(A154, '1C'!C:S, 17, 0),)</f>
        <v>3</v>
      </c>
      <c r="G154" s="83" t="str">
        <f ca="1">IFERROR(
  VLOOKUP(A154, '1C'!C:U, 19, 0),)</f>
        <v>50А</v>
      </c>
      <c r="H154" s="81" t="str">
        <f ca="1">IFERROR(
  VLOOKUP(A154, '1C'!C:G, 5, 0),)</f>
        <v>NTRN15003</v>
      </c>
      <c r="I154" s="90" t="str">
        <f ca="1">IFERROR( VLOOKUP(A154, '1C'!C:I, 7, 0),)</f>
        <v>-</v>
      </c>
      <c r="J154" s="91" t="str">
        <f ca="1">IFERROR(
  VLOOKUP(A154, '1C'!C:H, 6, 0),)</f>
        <v>8536 49 00 90</v>
      </c>
      <c r="K154" s="86"/>
      <c r="L154" s="92"/>
    </row>
    <row r="155" spans="1:12" ht="14.4">
      <c r="A155" s="88" t="str">
        <f ca="1">IFERROR(__xludf.DUMMYFUNCTION("iferror(IFERROR(
HYPERLINK(
  VLOOKUP(
    INDEX(UNIQUE(FLATTEN({'1C'!$W$2:W200,'1C'!$C$2:C200})), ROW(A153)), 
    '1C'!C:O, 12, 0),
  INDEX(UNIQUE(FLATTEN({'1C'!$W$2:W200,'1C'!$C$2:C200})), ROW(A153))),
MATCH(INDEX(UNIQUE(FLATTEN({'1C'!$W$2:W200,'1C'!$C"&amp;"$2:C200})), ROW(A153)), L$3:L200, 0)
),)"),"RN-163")</f>
        <v>RN-163</v>
      </c>
      <c r="B155" s="108">
        <f ca="1">IFERROR(
  VLOOKUP(A155, '1C'!C:E, 3, 0),)</f>
        <v>27</v>
      </c>
      <c r="C155" s="108">
        <f ca="1">IFERROR(
  VLOOKUP(A155, '1C'!C:Z, 24, 0),)</f>
        <v>30</v>
      </c>
      <c r="D155" s="80" t="str">
        <f ca="1">IFERROR(
  VLOOKUP(A155, '1C'!C:K, 9, 0),)</f>
        <v>Single-phase, terminals at the bottom, voltage relay only</v>
      </c>
      <c r="E155" s="81" t="str">
        <f ca="1">IFERROR(
  VLOOKUP(A155, '1C'!C:Q, 15, 0),)</f>
        <v>DIN</v>
      </c>
      <c r="F155" s="82">
        <f ca="1">IFERROR(
  VLOOKUP(A155, '1C'!C:S, 17, 0),)</f>
        <v>3</v>
      </c>
      <c r="G155" s="83" t="str">
        <f ca="1">IFERROR(
  VLOOKUP(A155, '1C'!C:U, 19, 0),)</f>
        <v>63А</v>
      </c>
      <c r="H155" s="81" t="str">
        <f ca="1">IFERROR(
  VLOOKUP(A155, '1C'!C:G, 5, 0),)</f>
        <v>NTRN16303</v>
      </c>
      <c r="I155" s="90" t="str">
        <f ca="1">IFERROR( VLOOKUP(A155, '1C'!C:I, 7, 0),)</f>
        <v>-</v>
      </c>
      <c r="J155" s="91" t="str">
        <f ca="1">IFERROR(
  VLOOKUP(A155, '1C'!C:H, 6, 0),)</f>
        <v>8536 49 00 90</v>
      </c>
      <c r="K155" s="86"/>
      <c r="L155" s="92"/>
    </row>
    <row r="156" spans="1:12" ht="14.4">
      <c r="A156" s="88" t="str">
        <f ca="1">IFERROR(__xludf.DUMMYFUNCTION("iferror(IFERROR(
HYPERLINK(
  VLOOKUP(
    INDEX(UNIQUE(FLATTEN({'1C'!$W$2:W200,'1C'!$C$2:C200})), ROW(A154)), 
    '1C'!C:O, 12, 0),
  INDEX(UNIQUE(FLATTEN({'1C'!$W$2:W200,'1C'!$C$2:C200})), ROW(A154))),
MATCH(INDEX(UNIQUE(FLATTEN({'1C'!$W$2:W200,'1C'!$C"&amp;"$2:C200})), ROW(A154)), L$3:L200, 0)
),)"),"RN-125t")</f>
        <v>RN-125t</v>
      </c>
      <c r="B156" s="108">
        <f ca="1">IFERROR(
  VLOOKUP(A156, '1C'!C:E, 3, 0),)</f>
        <v>20</v>
      </c>
      <c r="C156" s="108">
        <f ca="1">IFERROR(
  VLOOKUP(A156, '1C'!C:Z, 24, 0),)</f>
        <v>23</v>
      </c>
      <c r="D156" s="80" t="str">
        <f ca="1">IFERROR(
  VLOOKUP(A156, '1C'!C:K, 9, 0),)</f>
        <v>With thermal protection, single-phase, terminals at the bottom, voltage relay only</v>
      </c>
      <c r="E156" s="81" t="str">
        <f ca="1">IFERROR(
  VLOOKUP(A156, '1C'!C:Q, 15, 0),)</f>
        <v>DIN</v>
      </c>
      <c r="F156" s="82">
        <f ca="1">IFERROR(
  VLOOKUP(A156, '1C'!C:S, 17, 0),)</f>
        <v>3</v>
      </c>
      <c r="G156" s="83" t="str">
        <f ca="1">IFERROR(
  VLOOKUP(A156, '1C'!C:U, 19, 0),)</f>
        <v>25А</v>
      </c>
      <c r="H156" s="81" t="str">
        <f ca="1">IFERROR(
  VLOOKUP(A156, '1C'!C:G, 5, 0),)</f>
        <v>NTRN125T3</v>
      </c>
      <c r="I156" s="90" t="str">
        <f ca="1">IFERROR( VLOOKUP(A156, '1C'!C:I, 7, 0),)</f>
        <v>-</v>
      </c>
      <c r="J156" s="91" t="str">
        <f ca="1">IFERROR(
  VLOOKUP(A156, '1C'!C:H, 6, 0),)</f>
        <v>8536 49 00 90</v>
      </c>
      <c r="K156" s="86"/>
      <c r="L156" s="92"/>
    </row>
    <row r="157" spans="1:12" ht="14.4">
      <c r="A157" s="88" t="str">
        <f ca="1">IFERROR(__xludf.DUMMYFUNCTION("iferror(IFERROR(
HYPERLINK(
  VLOOKUP(
    INDEX(UNIQUE(FLATTEN({'1C'!$W$2:W200,'1C'!$C$2:C200})), ROW(A155)), 
    '1C'!C:O, 12, 0),
  INDEX(UNIQUE(FLATTEN({'1C'!$W$2:W200,'1C'!$C$2:C200})), ROW(A155))),
MATCH(INDEX(UNIQUE(FLATTEN({'1C'!$W$2:W200,'1C'!$C"&amp;"$2:C200})), ROW(A155)), L$3:L200, 0)
),)"),"RN-132t")</f>
        <v>RN-132t</v>
      </c>
      <c r="B157" s="108">
        <f ca="1">IFERROR(
  VLOOKUP(A157, '1C'!C:E, 3, 0),)</f>
        <v>22</v>
      </c>
      <c r="C157" s="108">
        <f ca="1">IFERROR(
  VLOOKUP(A157, '1C'!C:Z, 24, 0),)</f>
        <v>25</v>
      </c>
      <c r="D157" s="80" t="str">
        <f ca="1">IFERROR(
  VLOOKUP(A157, '1C'!C:K, 9, 0),)</f>
        <v>With thermal protection, single-phase, terminals at the bottom, voltage relay only</v>
      </c>
      <c r="E157" s="81" t="str">
        <f ca="1">IFERROR(
  VLOOKUP(A157, '1C'!C:Q, 15, 0),)</f>
        <v>DIN</v>
      </c>
      <c r="F157" s="82">
        <f ca="1">IFERROR(
  VLOOKUP(A157, '1C'!C:S, 17, 0),)</f>
        <v>3</v>
      </c>
      <c r="G157" s="83" t="str">
        <f ca="1">IFERROR(
  VLOOKUP(A157, '1C'!C:U, 19, 0),)</f>
        <v>32А</v>
      </c>
      <c r="H157" s="81" t="str">
        <f ca="1">IFERROR(
  VLOOKUP(A157, '1C'!C:G, 5, 0),)</f>
        <v>NTRN132T3</v>
      </c>
      <c r="I157" s="90" t="str">
        <f ca="1">IFERROR( VLOOKUP(A157, '1C'!C:I, 7, 0),)</f>
        <v>-</v>
      </c>
      <c r="J157" s="91" t="str">
        <f ca="1">IFERROR(
  VLOOKUP(A157, '1C'!C:H, 6, 0),)</f>
        <v>8536 49 00 90</v>
      </c>
      <c r="K157" s="86"/>
      <c r="L157" s="92"/>
    </row>
    <row r="158" spans="1:12" ht="14.4">
      <c r="A158" s="88" t="str">
        <f ca="1">IFERROR(__xludf.DUMMYFUNCTION("iferror(IFERROR(
HYPERLINK(
  VLOOKUP(
    INDEX(UNIQUE(FLATTEN({'1C'!$W$2:W200,'1C'!$C$2:C200})), ROW(A156)), 
    '1C'!C:O, 12, 0),
  INDEX(UNIQUE(FLATTEN({'1C'!$W$2:W200,'1C'!$C$2:C200})), ROW(A156))),
MATCH(INDEX(UNIQUE(FLATTEN({'1C'!$W$2:W200,'1C'!$C"&amp;"$2:C200})), ROW(A156)), L$3:L200, 0)
),)"),"RN-140t")</f>
        <v>RN-140t</v>
      </c>
      <c r="B158" s="108">
        <f ca="1">IFERROR(
  VLOOKUP(A158, '1C'!C:E, 3, 0),)</f>
        <v>24</v>
      </c>
      <c r="C158" s="108">
        <f ca="1">IFERROR(
  VLOOKUP(A158, '1C'!C:Z, 24, 0),)</f>
        <v>27</v>
      </c>
      <c r="D158" s="80" t="str">
        <f ca="1">IFERROR(
  VLOOKUP(A158, '1C'!C:K, 9, 0),)</f>
        <v>With thermal protection, single-phase, terminals at the bottom, voltage relay only</v>
      </c>
      <c r="E158" s="81" t="str">
        <f ca="1">IFERROR(
  VLOOKUP(A158, '1C'!C:Q, 15, 0),)</f>
        <v>DIN</v>
      </c>
      <c r="F158" s="82">
        <f ca="1">IFERROR(
  VLOOKUP(A158, '1C'!C:S, 17, 0),)</f>
        <v>3</v>
      </c>
      <c r="G158" s="83" t="str">
        <f ca="1">IFERROR(
  VLOOKUP(A158, '1C'!C:U, 19, 0),)</f>
        <v>40А</v>
      </c>
      <c r="H158" s="81" t="str">
        <f ca="1">IFERROR(
  VLOOKUP(A158, '1C'!C:G, 5, 0),)</f>
        <v>NTRN140T3</v>
      </c>
      <c r="I158" s="90" t="str">
        <f ca="1">IFERROR( VLOOKUP(A158, '1C'!C:I, 7, 0),)</f>
        <v>-</v>
      </c>
      <c r="J158" s="91" t="str">
        <f ca="1">IFERROR(
  VLOOKUP(A158, '1C'!C:H, 6, 0),)</f>
        <v>8536 49 00 90</v>
      </c>
      <c r="K158" s="86"/>
      <c r="L158" s="92"/>
    </row>
    <row r="159" spans="1:12" ht="14.4">
      <c r="A159" s="88" t="str">
        <f ca="1">IFERROR(__xludf.DUMMYFUNCTION("iferror(IFERROR(
HYPERLINK(
  VLOOKUP(
    INDEX(UNIQUE(FLATTEN({'1C'!$W$2:W200,'1C'!$C$2:C200})), ROW(A157)), 
    '1C'!C:O, 12, 0),
  INDEX(UNIQUE(FLATTEN({'1C'!$W$2:W200,'1C'!$C$2:C200})), ROW(A157))),
MATCH(INDEX(UNIQUE(FLATTEN({'1C'!$W$2:W200,'1C'!$C"&amp;"$2:C200})), ROW(A157)), L$3:L200, 0)
),)"),"RN-150t")</f>
        <v>RN-150t</v>
      </c>
      <c r="B159" s="108">
        <f ca="1">IFERROR(
  VLOOKUP(A159, '1C'!C:E, 3, 0),)</f>
        <v>26</v>
      </c>
      <c r="C159" s="108">
        <f ca="1">IFERROR(
  VLOOKUP(A159, '1C'!C:Z, 24, 0),)</f>
        <v>29</v>
      </c>
      <c r="D159" s="80" t="str">
        <f ca="1">IFERROR(
  VLOOKUP(A159, '1C'!C:K, 9, 0),)</f>
        <v>With thermal protection, single-phase, terminals at the bottom, voltage relay only</v>
      </c>
      <c r="E159" s="81" t="str">
        <f ca="1">IFERROR(
  VLOOKUP(A159, '1C'!C:Q, 15, 0),)</f>
        <v>DIN</v>
      </c>
      <c r="F159" s="82">
        <f ca="1">IFERROR(
  VLOOKUP(A159, '1C'!C:S, 17, 0),)</f>
        <v>3</v>
      </c>
      <c r="G159" s="83" t="str">
        <f ca="1">IFERROR(
  VLOOKUP(A159, '1C'!C:U, 19, 0),)</f>
        <v>50А</v>
      </c>
      <c r="H159" s="81" t="str">
        <f ca="1">IFERROR(
  VLOOKUP(A159, '1C'!C:G, 5, 0),)</f>
        <v>NTRN150T3</v>
      </c>
      <c r="I159" s="90" t="str">
        <f ca="1">IFERROR( VLOOKUP(A159, '1C'!C:I, 7, 0),)</f>
        <v>-</v>
      </c>
      <c r="J159" s="91" t="str">
        <f ca="1">IFERROR(
  VLOOKUP(A159, '1C'!C:H, 6, 0),)</f>
        <v>8536 49 00 90</v>
      </c>
      <c r="K159" s="86"/>
      <c r="L159" s="92"/>
    </row>
    <row r="160" spans="1:12" ht="14.4">
      <c r="A160" s="88" t="str">
        <f ca="1">IFERROR(__xludf.DUMMYFUNCTION("iferror(IFERROR(
HYPERLINK(
  VLOOKUP(
    INDEX(UNIQUE(FLATTEN({'1C'!$W$2:W200,'1C'!$C$2:C200})), ROW(A158)), 
    '1C'!C:O, 12, 0),
  INDEX(UNIQUE(FLATTEN({'1C'!$W$2:W200,'1C'!$C$2:C200})), ROW(A158))),
MATCH(INDEX(UNIQUE(FLATTEN({'1C'!$W$2:W200,'1C'!$C"&amp;"$2:C200})), ROW(A158)), L$3:L200, 0)
),)"),"RN-163t")</f>
        <v>RN-163t</v>
      </c>
      <c r="B160" s="108">
        <f ca="1">IFERROR(
  VLOOKUP(A160, '1C'!C:E, 3, 0),)</f>
        <v>28</v>
      </c>
      <c r="C160" s="108">
        <f ca="1">IFERROR(
  VLOOKUP(A160, '1C'!C:Z, 24, 0),)</f>
        <v>32</v>
      </c>
      <c r="D160" s="80" t="str">
        <f ca="1">IFERROR(
  VLOOKUP(A160, '1C'!C:K, 9, 0),)</f>
        <v>With thermal protection, single-phase, terminals at the bottom, voltage relay only</v>
      </c>
      <c r="E160" s="81" t="str">
        <f ca="1">IFERROR(
  VLOOKUP(A160, '1C'!C:Q, 15, 0),)</f>
        <v>DIN</v>
      </c>
      <c r="F160" s="82">
        <f ca="1">IFERROR(
  VLOOKUP(A160, '1C'!C:S, 17, 0),)</f>
        <v>3</v>
      </c>
      <c r="G160" s="83" t="str">
        <f ca="1">IFERROR(
  VLOOKUP(A160, '1C'!C:U, 19, 0),)</f>
        <v>63А</v>
      </c>
      <c r="H160" s="81" t="str">
        <f ca="1">IFERROR(
  VLOOKUP(A160, '1C'!C:G, 5, 0),)</f>
        <v>NTRN163T3</v>
      </c>
      <c r="I160" s="90" t="str">
        <f ca="1">IFERROR( VLOOKUP(A160, '1C'!C:I, 7, 0),)</f>
        <v>-</v>
      </c>
      <c r="J160" s="91" t="str">
        <f ca="1">IFERROR(
  VLOOKUP(A160, '1C'!C:H, 6, 0),)</f>
        <v>8536 49 00 90</v>
      </c>
      <c r="K160" s="86"/>
      <c r="L160" s="92"/>
    </row>
    <row r="161" spans="1:12" ht="14.4">
      <c r="A161" s="88" t="str">
        <f ca="1">IFERROR(__xludf.DUMMYFUNCTION("iferror(IFERROR(
HYPERLINK(
  VLOOKUP(
    INDEX(UNIQUE(FLATTEN({'1C'!$W$2:W200,'1C'!$C$2:C200})), ROW(A159)), 
    '1C'!C:O, 12, 0),
  INDEX(UNIQUE(FLATTEN({'1C'!$W$2:W200,'1C'!$C$2:C200})), ROW(A159))),
MATCH(INDEX(UNIQUE(FLATTEN({'1C'!$W$2:W200,'1C'!$C"&amp;"$2:C200})), ROW(A159)), L$3:L200, 0)
),)"),"RN-240t")</f>
        <v>RN-240t</v>
      </c>
      <c r="B161" s="108">
        <f ca="1">IFERROR(
  VLOOKUP(A161, '1C'!C:E, 3, 0),)</f>
        <v>30</v>
      </c>
      <c r="C161" s="108">
        <f ca="1">IFERROR(
  VLOOKUP(A161, '1C'!C:Z, 24, 0),)</f>
        <v>34</v>
      </c>
      <c r="D161" s="80" t="str">
        <f ca="1">IFERROR(
  VLOOKUP(A161, '1C'!C:K, 9, 0),)</f>
        <v>Current limiter + voltage relay, power indication</v>
      </c>
      <c r="E161" s="81" t="str">
        <f ca="1">IFERROR(
  VLOOKUP(A161, '1C'!C:Q, 15, 0),)</f>
        <v>DIN</v>
      </c>
      <c r="F161" s="82">
        <f ca="1">IFERROR(
  VLOOKUP(A161, '1C'!C:S, 17, 0),)</f>
        <v>2</v>
      </c>
      <c r="G161" s="83" t="str">
        <f ca="1">IFERROR(
  VLOOKUP(A161, '1C'!C:U, 19, 0),)</f>
        <v>40А</v>
      </c>
      <c r="H161" s="81" t="str">
        <f ca="1">IFERROR(
  VLOOKUP(A161, '1C'!C:G, 5, 0),)</f>
        <v>NTRN240T2</v>
      </c>
      <c r="I161" s="90">
        <f ca="1">IFERROR( VLOOKUP(A161, '1C'!C:I, 7, 0),)</f>
        <v>4820122950269</v>
      </c>
      <c r="J161" s="91" t="str">
        <f ca="1">IFERROR(
  VLOOKUP(A161, '1C'!C:H, 6, 0),)</f>
        <v>8536 49 00 90</v>
      </c>
      <c r="K161" s="86"/>
      <c r="L161" s="92"/>
    </row>
    <row r="162" spans="1:12" ht="14.4">
      <c r="A162" s="93" t="str">
        <f ca="1">IFERROR(__xludf.DUMMYFUNCTION("iferror(IFERROR(
HYPERLINK(
  VLOOKUP(
    INDEX(UNIQUE(FLATTEN({'1C'!$W$2:W200,'1C'!$C$2:C200})), ROW(A160)), 
    '1C'!C:O, 12, 0),
  INDEX(UNIQUE(FLATTEN({'1C'!$W$2:W200,'1C'!$C$2:C200})), ROW(A160))),
MATCH(INDEX(UNIQUE(FLATTEN({'1C'!$W$2:W200,'1C'!$C"&amp;"$2:C200})), ROW(A160)), L$3:L200, 0)
),)"),"RN-260t")</f>
        <v>RN-260t</v>
      </c>
      <c r="B162" s="108">
        <f ca="1">IFERROR(
  VLOOKUP(A162, '1C'!C:E, 3, 0),)</f>
        <v>33</v>
      </c>
      <c r="C162" s="108">
        <f ca="1">IFERROR(
  VLOOKUP(A162, '1C'!C:Z, 24, 0),)</f>
        <v>37</v>
      </c>
      <c r="D162" s="80" t="str">
        <f ca="1">IFERROR(
  VLOOKUP(A162, '1C'!C:K, 9, 0),)</f>
        <v>Current limiter + voltage relay + power limiter, parameter indication</v>
      </c>
      <c r="E162" s="81" t="str">
        <f ca="1">IFERROR(
  VLOOKUP(A162, '1C'!C:Q, 15, 0),)</f>
        <v>DIN</v>
      </c>
      <c r="F162" s="82">
        <f ca="1">IFERROR(
  VLOOKUP(A162, '1C'!C:S, 17, 0),)</f>
        <v>3</v>
      </c>
      <c r="G162" s="83" t="str">
        <f ca="1">IFERROR(
  VLOOKUP(A162, '1C'!C:U, 19, 0),)</f>
        <v>63А</v>
      </c>
      <c r="H162" s="81" t="str">
        <f ca="1">IFERROR(
  VLOOKUP(A162, '1C'!C:G, 5, 0),)</f>
        <v>NTRN260T3</v>
      </c>
      <c r="I162" s="90">
        <f ca="1">IFERROR( VLOOKUP(A162, '1C'!C:I, 7, 0),)</f>
        <v>4820122950405</v>
      </c>
      <c r="J162" s="91" t="str">
        <f ca="1">IFERROR(
  VLOOKUP(A162, '1C'!C:H, 6, 0),)</f>
        <v>8536 49 00 90</v>
      </c>
      <c r="K162" s="86"/>
      <c r="L162" s="92"/>
    </row>
    <row r="163" spans="1:12" ht="14.4">
      <c r="A163" s="88" t="str">
        <f ca="1">IFERROR(__xludf.DUMMYFUNCTION("iferror(IFERROR(
HYPERLINK(
  VLOOKUP(
    INDEX(UNIQUE(FLATTEN({'1C'!$W$2:W200,'1C'!$C$2:C200})), ROW(A161)), 
    '1C'!C:O, 12, 0),
  INDEX(UNIQUE(FLATTEN({'1C'!$W$2:W200,'1C'!$C$2:C200})), ROW(A161))),
MATCH(INDEX(UNIQUE(FLATTEN({'1C'!$W$2:W200,'1C'!$C"&amp;"$2:C200})), ROW(A161)), L$3:L200, 0)
),)"),"RN-263t")</f>
        <v>RN-263t</v>
      </c>
      <c r="B163" s="108">
        <f ca="1">IFERROR(
  VLOOKUP(A163, '1C'!C:E, 3, 0),)</f>
        <v>33</v>
      </c>
      <c r="C163" s="108">
        <f ca="1">IFERROR(
  VLOOKUP(A163, '1C'!C:Z, 24, 0),)</f>
        <v>37</v>
      </c>
      <c r="D163" s="80" t="str">
        <f ca="1">IFERROR(
  VLOOKUP(A163, '1C'!C:K, 9, 0),)</f>
        <v>Current limiter + voltage relay, power indication</v>
      </c>
      <c r="E163" s="81" t="str">
        <f ca="1">IFERROR(
  VLOOKUP(A163, '1C'!C:Q, 15, 0),)</f>
        <v>DIN</v>
      </c>
      <c r="F163" s="82">
        <f ca="1">IFERROR(
  VLOOKUP(A163, '1C'!C:S, 17, 0),)</f>
        <v>2</v>
      </c>
      <c r="G163" s="83" t="str">
        <f ca="1">IFERROR(
  VLOOKUP(A163, '1C'!C:U, 19, 0),)</f>
        <v>63А</v>
      </c>
      <c r="H163" s="81" t="str">
        <f ca="1">IFERROR(
  VLOOKUP(A163, '1C'!C:G, 5, 0),)</f>
        <v>NTRN263T2</v>
      </c>
      <c r="I163" s="90">
        <f ca="1">IFERROR( VLOOKUP(A163, '1C'!C:I, 7, 0),)</f>
        <v>4820122950276</v>
      </c>
      <c r="J163" s="91" t="str">
        <f ca="1">IFERROR(
  VLOOKUP(A163, '1C'!C:H, 6, 0),)</f>
        <v>8536 49 00 90</v>
      </c>
      <c r="K163" s="86"/>
      <c r="L163" s="92"/>
    </row>
    <row r="164" spans="1:12" ht="14.4">
      <c r="A164" s="93" t="str">
        <f ca="1">IFERROR(__xludf.DUMMYFUNCTION("iferror(IFERROR(
HYPERLINK(
  VLOOKUP(
    INDEX(UNIQUE(FLATTEN({'1C'!$W$2:W200,'1C'!$C$2:C200})), ROW(A162)), 
    '1C'!C:O, 12, 0),
  INDEX(UNIQUE(FLATTEN({'1C'!$W$2:W200,'1C'!$C$2:C200})), ROW(A162))),
MATCH(INDEX(UNIQUE(FLATTEN({'1C'!$W$2:W200,'1C'!$C"&amp;"$2:C200})), ROW(A162)), L$3:L200, 0)
),)"),"RN-112")</f>
        <v>RN-112</v>
      </c>
      <c r="B164" s="108">
        <f ca="1">IFERROR(
  VLOOKUP(A164, '1C'!C:E, 3, 0),)</f>
        <v>24</v>
      </c>
      <c r="C164" s="108">
        <f ca="1">IFERROR(
  VLOOKUP(A164, '1C'!C:Z, 24, 0),)</f>
        <v>27</v>
      </c>
      <c r="D164" s="80" t="str">
        <f ca="1">IFERROR(
  VLOOKUP(A164, '1C'!C:K, 9, 0),)</f>
        <v>100V</v>
      </c>
      <c r="E164" s="81" t="str">
        <f ca="1">IFERROR(
  VLOOKUP(A164, '1C'!C:Q, 15, 0),)</f>
        <v>DIN</v>
      </c>
      <c r="F164" s="82">
        <f ca="1">IFERROR(
  VLOOKUP(A164, '1C'!C:S, 17, 0),)</f>
        <v>3</v>
      </c>
      <c r="G164" s="83" t="str">
        <f ca="1">IFERROR(
  VLOOKUP(A164, '1C'!C:U, 19, 0),)</f>
        <v>5А</v>
      </c>
      <c r="H164" s="81" t="str">
        <f ca="1">IFERROR(
  VLOOKUP(A164, '1C'!C:G, 5, 0),)</f>
        <v>NTRN122LV</v>
      </c>
      <c r="I164" s="90" t="str">
        <f ca="1">IFERROR( VLOOKUP(A164, '1C'!C:I, 7, 0),)</f>
        <v>-</v>
      </c>
      <c r="J164" s="91" t="str">
        <f ca="1">IFERROR(
  VLOOKUP(A164, '1C'!C:H, 6, 0),)</f>
        <v>8536 49 00 90</v>
      </c>
      <c r="K164" s="86"/>
      <c r="L164" s="92"/>
    </row>
    <row r="165" spans="1:12" ht="14.4">
      <c r="A165" s="88" t="str">
        <f ca="1">IFERROR(__xludf.DUMMYFUNCTION("iferror(IFERROR(
HYPERLINK(
  VLOOKUP(
    INDEX(UNIQUE(FLATTEN({'1C'!$W$2:W200,'1C'!$C$2:C200})), ROW(A163)), 
    '1C'!C:O, 12, 0),
  INDEX(UNIQUE(FLATTEN({'1C'!$W$2:W200,'1C'!$C$2:C200})), ROW(A163))),
MATCH(INDEX(UNIQUE(FLATTEN({'1C'!$W$2:W200,'1C'!$C"&amp;"$2:C200})), ROW(A163)), L$3:L200, 0)
),)"),"EM-129")</f>
        <v>EM-129</v>
      </c>
      <c r="B165" s="108">
        <f ca="1">IFERROR(
  VLOOKUP(A165, '1C'!C:E, 3, 0),)</f>
        <v>103</v>
      </c>
      <c r="C165" s="108">
        <f ca="1">IFERROR(
  VLOOKUP(A165, '1C'!C:Z, 24, 0),)</f>
        <v>103</v>
      </c>
      <c r="D165" s="80" t="str">
        <f ca="1">IFERROR(
  VLOOKUP(A165, '1C'!C:K, 9, 0),)</f>
        <v>Wi-Fi meter with voltage relay, power and current limitation, history log, timer, graphics</v>
      </c>
      <c r="E165" s="81" t="str">
        <f ca="1">IFERROR(
  VLOOKUP(A165, '1C'!C:Q, 15, 0),)</f>
        <v>DIN</v>
      </c>
      <c r="F165" s="82">
        <f ca="1">IFERROR(
  VLOOKUP(A165, '1C'!C:S, 17, 0),)</f>
        <v>2</v>
      </c>
      <c r="G165" s="83" t="str">
        <f ca="1">IFERROR(
  VLOOKUP(A165, '1C'!C:U, 19, 0),)</f>
        <v>63А</v>
      </c>
      <c r="H165" s="81" t="str">
        <f ca="1">IFERROR(
  VLOOKUP(A165, '1C'!C:G, 5, 0),)</f>
        <v>NTRN129S0</v>
      </c>
      <c r="I165" s="90">
        <f ca="1">IFERROR( VLOOKUP(A165, '1C'!C:I, 7, 0),)</f>
        <v>4820122950313</v>
      </c>
      <c r="J165" s="91" t="str">
        <f ca="1">IFERROR(
  VLOOKUP(A165, '1C'!C:H, 6, 0),)</f>
        <v>9028 30 11 00</v>
      </c>
      <c r="K165" s="86"/>
      <c r="L165" s="92"/>
    </row>
    <row r="166" spans="1:12" ht="14.4">
      <c r="A166" s="93" t="str">
        <f ca="1">IFERROR(__xludf.DUMMYFUNCTION("iferror(IFERROR(
HYPERLINK(
  VLOOKUP(
    INDEX(UNIQUE(FLATTEN({'1C'!$W$2:W200,'1C'!$C$2:C200})), ROW(A164)), 
    '1C'!C:O, 12, 0),
  INDEX(UNIQUE(FLATTEN({'1C'!$W$2:W200,'1C'!$C$2:C200})), ROW(A164))),
MATCH(INDEX(UNIQUE(FLATTEN({'1C'!$W$2:W200,'1C'!$C"&amp;"$2:C200})), ROW(A164)), L$3:L200, 0)
),)"),"Overflow relay")</f>
        <v>Overflow relay</v>
      </c>
      <c r="B166" s="108">
        <f ca="1">IFERROR(
  VLOOKUP(A166, '1C'!C:E, 3, 0),)</f>
        <v>0</v>
      </c>
      <c r="C166" s="108">
        <f ca="1">IFERROR(
  VLOOKUP(A166, '1C'!C:Z, 24, 0),)</f>
        <v>0</v>
      </c>
      <c r="D166" s="80">
        <f ca="1">IFERROR(
  VLOOKUP(A166, '1C'!C:K, 9, 0),)</f>
        <v>0</v>
      </c>
      <c r="E166" s="81">
        <f ca="1">IFERROR(
  VLOOKUP(A166, '1C'!C:Q, 15, 0),)</f>
        <v>0</v>
      </c>
      <c r="F166" s="82">
        <f ca="1">IFERROR(
  VLOOKUP(A166, '1C'!C:S, 17, 0),)</f>
        <v>0</v>
      </c>
      <c r="G166" s="83">
        <f ca="1">IFERROR(
  VLOOKUP(A166, '1C'!C:U, 19, 0),)</f>
        <v>0</v>
      </c>
      <c r="H166" s="81">
        <f ca="1">IFERROR(
  VLOOKUP(A166, '1C'!C:G, 5, 0),)</f>
        <v>0</v>
      </c>
      <c r="I166" s="90">
        <f ca="1">IFERROR( VLOOKUP(A166, '1C'!C:I, 7, 0),)</f>
        <v>0</v>
      </c>
      <c r="J166" s="91">
        <f ca="1">IFERROR(
  VLOOKUP(A166, '1C'!C:H, 6, 0),)</f>
        <v>0</v>
      </c>
      <c r="K166" s="86"/>
      <c r="L166" s="92"/>
    </row>
    <row r="167" spans="1:12" ht="14.4">
      <c r="A167" s="88" t="str">
        <f ca="1">IFERROR(__xludf.DUMMYFUNCTION("iferror(IFERROR(
HYPERLINK(
  VLOOKUP(
    INDEX(UNIQUE(FLATTEN({'1C'!$W$2:W200,'1C'!$C$2:C200})), ROW(A165)), 
    '1C'!C:O, 12, 0),
  INDEX(UNIQUE(FLATTEN({'1C'!$W$2:W200,'1C'!$C$2:C200})), ROW(A165))),
MATCH(INDEX(UNIQUE(FLATTEN({'1C'!$W$2:W200,'1C'!$C"&amp;"$2:C200})), ROW(A165)), L$3:L200, 0)
),)"),"EPS Master")</f>
        <v>EPS Master</v>
      </c>
      <c r="B167" s="108">
        <f ca="1">IFERROR(
  VLOOKUP(A167, '1C'!C:E, 3, 0),)</f>
        <v>112</v>
      </c>
      <c r="C167" s="108">
        <f ca="1">IFERROR(
  VLOOKUP(A167, '1C'!C:Z, 24, 0),)</f>
        <v>112</v>
      </c>
      <c r="D167" s="80" t="str">
        <f ca="1">IFERROR(
  VLOOKUP(A167, '1C'!C:K, 9, 0),)</f>
        <v>Wi-Fi overflow relay with voltage relay, power and current limitation, history log, timer, graphics Master</v>
      </c>
      <c r="E167" s="81" t="str">
        <f ca="1">IFERROR(
  VLOOKUP(A167, '1C'!C:Q, 15, 0),)</f>
        <v>DIN</v>
      </c>
      <c r="F167" s="82">
        <f ca="1">IFERROR(
  VLOOKUP(A167, '1C'!C:S, 17, 0),)</f>
        <v>2</v>
      </c>
      <c r="G167" s="83" t="str">
        <f ca="1">IFERROR(
  VLOOKUP(A167, '1C'!C:U, 19, 0),)</f>
        <v>14kW</v>
      </c>
      <c r="H167" s="81" t="str">
        <f ca="1">IFERROR(
  VLOOKUP(A167, '1C'!C:G, 5, 0),)</f>
        <v>EPSM0000S</v>
      </c>
      <c r="I167" s="90">
        <f ca="1">IFERROR( VLOOKUP(A167, '1C'!C:I, 7, 0),)</f>
        <v>4820122950337</v>
      </c>
      <c r="J167" s="91" t="str">
        <f ca="1">IFERROR(
  VLOOKUP(A167, '1C'!C:H, 6, 0),)</f>
        <v>-</v>
      </c>
      <c r="K167" s="86"/>
      <c r="L167" s="92"/>
    </row>
    <row r="168" spans="1:12" ht="14.4">
      <c r="A168" s="88" t="str">
        <f ca="1">IFERROR(__xludf.DUMMYFUNCTION("iferror(IFERROR(
HYPERLINK(
  VLOOKUP(
    INDEX(UNIQUE(FLATTEN({'1C'!$W$2:W200,'1C'!$C$2:C200})), ROW(A166)), 
    '1C'!C:O, 12, 0),
  INDEX(UNIQUE(FLATTEN({'1C'!$W$2:W200,'1C'!$C$2:C200})), ROW(A166))),
MATCH(INDEX(UNIQUE(FLATTEN({'1C'!$W$2:W200,'1C'!$C"&amp;"$2:C200})), ROW(A166)), L$3:L200, 0)
),)"),"EPS Slave")</f>
        <v>EPS Slave</v>
      </c>
      <c r="B168" s="108">
        <f ca="1">IFERROR(
  VLOOKUP(A168, '1C'!C:E, 3, 0),)</f>
        <v>74</v>
      </c>
      <c r="C168" s="108">
        <f ca="1">IFERROR(
  VLOOKUP(A168, '1C'!C:Z, 24, 0),)</f>
        <v>74</v>
      </c>
      <c r="D168" s="80" t="str">
        <f ca="1">IFERROR(
  VLOOKUP(A168, '1C'!C:K, 9, 0),)</f>
        <v>Wi-Fi overflow relay with voltage relay, power and current limitation, history log, timer, graphics Slave</v>
      </c>
      <c r="E168" s="81" t="str">
        <f ca="1">IFERROR(
  VLOOKUP(A168, '1C'!C:Q, 15, 0),)</f>
        <v>Socket</v>
      </c>
      <c r="F168" s="82" t="str">
        <f ca="1">IFERROR(
  VLOOKUP(A168, '1C'!C:S, 17, 0),)</f>
        <v>-</v>
      </c>
      <c r="G168" s="83" t="str">
        <f ca="1">IFERROR(
  VLOOKUP(A168, '1C'!C:U, 19, 0),)</f>
        <v>3,6kW</v>
      </c>
      <c r="H168" s="81" t="str">
        <f ca="1">IFERROR(
  VLOOKUP(A168, '1C'!C:G, 5, 0),)</f>
        <v>EPSS0000S</v>
      </c>
      <c r="I168" s="90">
        <f ca="1">IFERROR( VLOOKUP(A168, '1C'!C:I, 7, 0),)</f>
        <v>4820122950344</v>
      </c>
      <c r="J168" s="91">
        <f ca="1">IFERROR(
  VLOOKUP(A168, '1C'!C:H, 6, 0),)</f>
        <v>0</v>
      </c>
      <c r="K168" s="86"/>
      <c r="L168" s="92"/>
    </row>
    <row r="169" spans="1:12" ht="26.4">
      <c r="A169" s="88" t="str">
        <f ca="1">IFERROR(__xludf.DUMMYFUNCTION("iferror(IFERROR(
HYPERLINK(
  VLOOKUP(
    INDEX(UNIQUE(FLATTEN({'1C'!$W$2:W200,'1C'!$C$2:C200})), ROW(A167)), 
    '1C'!C:O, 12, 0),
  INDEX(UNIQUE(FLATTEN({'1C'!$W$2:W200,'1C'!$C$2:C200})), ROW(A167))),
MATCH(INDEX(UNIQUE(FLATTEN({'1C'!$W$2:W200,'1C'!$C"&amp;"$2:C200})), ROW(A167)), L$3:L200, 0)
),)"),"EPS 1+1 (master+slave)")</f>
        <v>EPS 1+1 (master+slave)</v>
      </c>
      <c r="B169" s="108">
        <f ca="1">IFERROR(
  VLOOKUP(A169, '1C'!C:E, 3, 0),)</f>
        <v>186</v>
      </c>
      <c r="C169" s="108">
        <f ca="1">IFERROR(
  VLOOKUP(A169, '1C'!C:Z, 24, 0),)</f>
        <v>186</v>
      </c>
      <c r="D169" s="80" t="str">
        <f ca="1">IFERROR(
  VLOOKUP(A169, '1C'!C:K, 9, 0),)</f>
        <v>Wi-Fi overflow relay with voltage relay, power and current limitation, history log, timer, graphics Master+Slave</v>
      </c>
      <c r="E169" s="81" t="str">
        <f ca="1">IFERROR(
  VLOOKUP(A169, '1C'!C:Q, 15, 0),)</f>
        <v>Other</v>
      </c>
      <c r="F169" s="82" t="str">
        <f ca="1">IFERROR(
  VLOOKUP(A169, '1C'!C:S, 17, 0),)</f>
        <v>-</v>
      </c>
      <c r="G169" s="83" t="str">
        <f ca="1">IFERROR(
  VLOOKUP(A169, '1C'!C:U, 19, 0),)</f>
        <v>-</v>
      </c>
      <c r="H169" s="81" t="str">
        <f ca="1">IFERROR(
  VLOOKUP(A169, '1C'!C:G, 5, 0),)</f>
        <v>EPSMS000S</v>
      </c>
      <c r="I169" s="90">
        <f ca="1">IFERROR( VLOOKUP(A169, '1C'!C:I, 7, 0),)</f>
        <v>4820122950320</v>
      </c>
      <c r="J169" s="91">
        <f ca="1">IFERROR(
  VLOOKUP(A169, '1C'!C:H, 6, 0),)</f>
        <v>0</v>
      </c>
      <c r="K169" s="86"/>
      <c r="L169" s="92"/>
    </row>
    <row r="170" spans="1:12" ht="14.4">
      <c r="A170" s="93" t="str">
        <f ca="1">IFERROR(__xludf.DUMMYFUNCTION("iferror(IFERROR(
HYPERLINK(
  VLOOKUP(
    INDEX(UNIQUE(FLATTEN({'1C'!$W$2:W200,'1C'!$C$2:C200})), ROW(A168)), 
    '1C'!C:O, 12, 0),
  INDEX(UNIQUE(FLATTEN({'1C'!$W$2:W200,'1C'!$C$2:C200})), ROW(A168))),
MATCH(INDEX(UNIQUE(FLATTEN({'1C'!$W$2:W200,'1C'!$C"&amp;"$2:C200})), ROW(A168)), L$3:L200, 0)
),)"),"VOLTAGE STABILIZERS")</f>
        <v>VOLTAGE STABILIZERS</v>
      </c>
      <c r="B170" s="108">
        <f ca="1">IFERROR(
  VLOOKUP(A170, '1C'!C:E, 3, 0),)</f>
        <v>0</v>
      </c>
      <c r="C170" s="108">
        <f ca="1">IFERROR(
  VLOOKUP(A170, '1C'!C:Z, 24, 0),)</f>
        <v>0</v>
      </c>
      <c r="D170" s="80">
        <f ca="1">IFERROR(
  VLOOKUP(A170, '1C'!C:K, 9, 0),)</f>
        <v>0</v>
      </c>
      <c r="E170" s="81">
        <f ca="1">IFERROR(
  VLOOKUP(A170, '1C'!C:Q, 15, 0),)</f>
        <v>0</v>
      </c>
      <c r="F170" s="82">
        <f ca="1">IFERROR(
  VLOOKUP(A170, '1C'!C:S, 17, 0),)</f>
        <v>0</v>
      </c>
      <c r="G170" s="83">
        <f ca="1">IFERROR(
  VLOOKUP(A170, '1C'!C:U, 19, 0),)</f>
        <v>0</v>
      </c>
      <c r="H170" s="81">
        <f ca="1">IFERROR(
  VLOOKUP(A170, '1C'!C:G, 5, 0),)</f>
        <v>0</v>
      </c>
      <c r="I170" s="90">
        <f ca="1">IFERROR( VLOOKUP(A170, '1C'!C:I, 7, 0),)</f>
        <v>0</v>
      </c>
      <c r="J170" s="91">
        <f ca="1">IFERROR(
  VLOOKUP(A170, '1C'!C:H, 6, 0),)</f>
        <v>0</v>
      </c>
      <c r="K170" s="86"/>
      <c r="L170" s="92"/>
    </row>
    <row r="171" spans="1:12" ht="26.4">
      <c r="A171" s="93" t="str">
        <f ca="1">IFERROR(__xludf.DUMMYFUNCTION("iferror(IFERROR(
HYPERLINK(
  VLOOKUP(
    INDEX(UNIQUE(FLATTEN({'1C'!$W$2:W200,'1C'!$C$2:C200})), ROW(A169)), 
    '1C'!C:O, 12, 0),
  INDEX(UNIQUE(FLATTEN({'1C'!$W$2:W200,'1C'!$C$2:C200})), ROW(A169))),
MATCH(INDEX(UNIQUE(FLATTEN({'1C'!$W$2:W200,'1C'!$C"&amp;"$2:C200})), ROW(A169)), L$3:L200, 0)
),)"),"LEGAT-5М")</f>
        <v>LEGAT-5М</v>
      </c>
      <c r="B171" s="108">
        <f ca="1">IFERROR(
  VLOOKUP(A171, '1C'!C:E, 3, 0),)</f>
        <v>129</v>
      </c>
      <c r="C171" s="108">
        <f ca="1">IFERROR(
  VLOOKUP(A171, '1C'!C:Z, 24, 0),)</f>
        <v>129</v>
      </c>
      <c r="D171" s="80" t="str">
        <f ca="1">IFERROR(
  VLOOKUP(A171, '1C'!C:K, 9, 0),)</f>
        <v>The Legat-5M single-phase voltage stabilizer is designed to provide highly stable power supply to various consumers 220V / 50Hz with a power consumption of up to 500VA</v>
      </c>
      <c r="E171" s="81" t="str">
        <f ca="1">IFERROR(
  VLOOKUP(A171, '1C'!C:Q, 15, 0),)</f>
        <v>Other</v>
      </c>
      <c r="F171" s="82" t="str">
        <f ca="1">IFERROR(
  VLOOKUP(A171, '1C'!C:S, 17, 0),)</f>
        <v>-</v>
      </c>
      <c r="G171" s="83" t="str">
        <f ca="1">IFERROR(
  VLOOKUP(A171, '1C'!C:U, 19, 0),)</f>
        <v>0,5kW</v>
      </c>
      <c r="H171" s="81" t="str">
        <f ca="1">IFERROR(
  VLOOKUP(A171, '1C'!C:G, 5, 0),)</f>
        <v>NTLG5M000</v>
      </c>
      <c r="I171" s="90">
        <f ca="1">IFERROR( VLOOKUP(A171, '1C'!C:I, 7, 0),)</f>
        <v>0</v>
      </c>
      <c r="J171" s="91" t="str">
        <f ca="1">IFERROR(
  VLOOKUP(A171, '1C'!C:H, 6, 0),)</f>
        <v>9032 89 00 00</v>
      </c>
      <c r="K171" s="86"/>
      <c r="L171" s="92"/>
    </row>
    <row r="172" spans="1:12" ht="26.4">
      <c r="A172" s="93" t="str">
        <f ca="1">IFERROR(__xludf.DUMMYFUNCTION("iferror(IFERROR(
HYPERLINK(
  VLOOKUP(
    INDEX(UNIQUE(FLATTEN({'1C'!$W$2:W200,'1C'!$C$2:C200})), ROW(A170)), 
    '1C'!C:O, 12, 0),
  INDEX(UNIQUE(FLATTEN({'1C'!$W$2:W200,'1C'!$C$2:C200})), ROW(A170))),
MATCH(INDEX(UNIQUE(FLATTEN({'1C'!$W$2:W200,'1C'!$C"&amp;"$2:C200})), ROW(A170)), L$3:L200, 0)
),)"),"LEGAT-35")</f>
        <v>LEGAT-35</v>
      </c>
      <c r="B172" s="108">
        <f ca="1">IFERROR(
  VLOOKUP(A172, '1C'!C:E, 3, 0),)</f>
        <v>242</v>
      </c>
      <c r="C172" s="108">
        <f ca="1">IFERROR(
  VLOOKUP(A172, '1C'!C:Z, 24, 0),)</f>
        <v>242</v>
      </c>
      <c r="D172" s="80" t="str">
        <f ca="1">IFERROR(
  VLOOKUP(A172, '1C'!C:K, 9, 0),)</f>
        <v>The Legat-35 single-phase voltage stabilizer is designed to provide a highly stable power supply to various 220V / 50Hz consumers with a power consumption of up to 3500VA</v>
      </c>
      <c r="E172" s="81" t="str">
        <f ca="1">IFERROR(
  VLOOKUP(A172, '1C'!C:Q, 15, 0),)</f>
        <v>Other</v>
      </c>
      <c r="F172" s="82" t="str">
        <f ca="1">IFERROR(
  VLOOKUP(A172, '1C'!C:S, 17, 0),)</f>
        <v>-</v>
      </c>
      <c r="G172" s="83" t="str">
        <f ca="1">IFERROR(
  VLOOKUP(A172, '1C'!C:U, 19, 0),)</f>
        <v>3,5kW</v>
      </c>
      <c r="H172" s="81" t="str">
        <f ca="1">IFERROR(
  VLOOKUP(A172, '1C'!C:G, 5, 0),)</f>
        <v>NTLG35000</v>
      </c>
      <c r="I172" s="90">
        <f ca="1">IFERROR( VLOOKUP(A172, '1C'!C:I, 7, 0),)</f>
        <v>0</v>
      </c>
      <c r="J172" s="91" t="str">
        <f ca="1">IFERROR(
  VLOOKUP(A172, '1C'!C:H, 6, 0),)</f>
        <v>9032 89 00 00</v>
      </c>
      <c r="K172" s="86"/>
      <c r="L172" s="92"/>
    </row>
    <row r="173" spans="1:12" ht="26.4">
      <c r="A173" s="93" t="str">
        <f ca="1">IFERROR(__xludf.DUMMYFUNCTION("iferror(IFERROR(
HYPERLINK(
  VLOOKUP(
    INDEX(UNIQUE(FLATTEN({'1C'!$W$2:W200,'1C'!$C$2:C200})), ROW(A171)), 
    '1C'!C:O, 12, 0),
  INDEX(UNIQUE(FLATTEN({'1C'!$W$2:W200,'1C'!$C$2:C200})), ROW(A171))),
MATCH(INDEX(UNIQUE(FLATTEN({'1C'!$W$2:W200,'1C'!$C"&amp;"$2:C200})), ROW(A171)), L$3:L200, 0)
),)"),"LEGAT-65")</f>
        <v>LEGAT-65</v>
      </c>
      <c r="B173" s="108">
        <f ca="1">IFERROR(
  VLOOKUP(A173, '1C'!C:E, 3, 0),)</f>
        <v>420</v>
      </c>
      <c r="C173" s="108">
        <f ca="1">IFERROR(
  VLOOKUP(A173, '1C'!C:Z, 24, 0),)</f>
        <v>420</v>
      </c>
      <c r="D173" s="80" t="str">
        <f ca="1">IFERROR(
  VLOOKUP(A173, '1C'!C:K, 9, 0),)</f>
        <v>The Legat-65 single-phase voltage stabilizer is designed to provide a highly stable power supply to various 220V / 50Hz consumers with a power consumption of up to 6500VA</v>
      </c>
      <c r="E173" s="81" t="str">
        <f ca="1">IFERROR(
  VLOOKUP(A173, '1C'!C:Q, 15, 0),)</f>
        <v>Other</v>
      </c>
      <c r="F173" s="82" t="str">
        <f ca="1">IFERROR(
  VLOOKUP(A173, '1C'!C:S, 17, 0),)</f>
        <v>-</v>
      </c>
      <c r="G173" s="83" t="str">
        <f ca="1">IFERROR(
  VLOOKUP(A173, '1C'!C:U, 19, 0),)</f>
        <v>6,5kW</v>
      </c>
      <c r="H173" s="81" t="str">
        <f ca="1">IFERROR(
  VLOOKUP(A173, '1C'!C:G, 5, 0),)</f>
        <v>NTLG65000</v>
      </c>
      <c r="I173" s="90">
        <f ca="1">IFERROR( VLOOKUP(A173, '1C'!C:I, 7, 0),)</f>
        <v>0</v>
      </c>
      <c r="J173" s="91" t="str">
        <f ca="1">IFERROR(
  VLOOKUP(A173, '1C'!C:H, 6, 0),)</f>
        <v>9032 89 00 00</v>
      </c>
      <c r="K173" s="86"/>
      <c r="L173" s="92"/>
    </row>
    <row r="174" spans="1:12" ht="14.4">
      <c r="A174" s="93" t="str">
        <f ca="1">IFERROR(__xludf.DUMMYFUNCTION("iferror(IFERROR(
HYPERLINK(
  VLOOKUP(
    INDEX(UNIQUE(FLATTEN({'1C'!$W$2:W200,'1C'!$C$2:C200})), ROW(A172)), 
    '1C'!C:O, 12, 0),
  INDEX(UNIQUE(FLATTEN({'1C'!$W$2:W200,'1C'!$C$2:C200})), ROW(A172))),
MATCH(INDEX(UNIQUE(FLATTEN({'1C'!$W$2:W200,'1C'!$C"&amp;"$2:C200})), ROW(A172)), L$3:L200, 0)
),)"),"UPS -1000")</f>
        <v>UPS -1000</v>
      </c>
      <c r="B174" s="108">
        <f ca="1">IFERROR(
  VLOOKUP(A174, '1C'!C:E, 3, 0),)</f>
        <v>246</v>
      </c>
      <c r="C174" s="108">
        <f ca="1">IFERROR(
  VLOOKUP(A174, '1C'!C:Z, 24, 0),)</f>
        <v>246</v>
      </c>
      <c r="D174" s="80">
        <f ca="1">IFERROR(
  VLOOKUP(A174, '1C'!C:K, 9, 0),)</f>
        <v>0</v>
      </c>
      <c r="E174" s="81" t="str">
        <f ca="1">IFERROR(
  VLOOKUP(A174, '1C'!C:Q, 15, 0),)</f>
        <v>Other</v>
      </c>
      <c r="F174" s="82" t="str">
        <f ca="1">IFERROR(
  VLOOKUP(A174, '1C'!C:S, 17, 0),)</f>
        <v>-</v>
      </c>
      <c r="G174" s="83" t="str">
        <f ca="1">IFERROR(
  VLOOKUP(A174, '1C'!C:U, 19, 0),)</f>
        <v>-</v>
      </c>
      <c r="H174" s="81" t="str">
        <f ca="1">IFERROR(
  VLOOKUP(A174, '1C'!C:G, 5, 0),)</f>
        <v>NTUPS0000</v>
      </c>
      <c r="I174" s="90">
        <f ca="1">IFERROR( VLOOKUP(A174, '1C'!C:I, 7, 0),)</f>
        <v>0</v>
      </c>
      <c r="J174" s="91" t="str">
        <f ca="1">IFERROR(
  VLOOKUP(A174, '1C'!C:H, 6, 0),)</f>
        <v>8504 40 90 90</v>
      </c>
      <c r="K174" s="96"/>
      <c r="L174" s="92"/>
    </row>
    <row r="175" spans="1:12" ht="14.4">
      <c r="A175" s="93" t="str">
        <f ca="1">IFERROR(__xludf.DUMMYFUNCTION("iferror(IFERROR(
HYPERLINK(
  VLOOKUP(
    INDEX(UNIQUE(FLATTEN({'1C'!$W$2:W200,'1C'!$C$2:C200})), ROW(A173)), 
    '1C'!C:O, 12, 0),
  INDEX(UNIQUE(FLATTEN({'1C'!$W$2:W200,'1C'!$C$2:C200})), ROW(A173))),
MATCH(INDEX(UNIQUE(FLATTEN({'1C'!$W$2:W200,'1C'!$C"&amp;"$2:C200})), ROW(A173)), L$3:L200, 0)
),)"),"PS-220/12-3")</f>
        <v>PS-220/12-3</v>
      </c>
      <c r="B175" s="108">
        <f ca="1">IFERROR(
  VLOOKUP(A175, '1C'!C:E, 3, 0),)</f>
        <v>59</v>
      </c>
      <c r="C175" s="108">
        <f ca="1">IFERROR(
  VLOOKUP(A175, '1C'!C:Z, 24, 0),)</f>
        <v>59</v>
      </c>
      <c r="D175" s="80">
        <f ca="1">IFERROR(
  VLOOKUP(A175, '1C'!C:K, 9, 0),)</f>
        <v>0</v>
      </c>
      <c r="E175" s="81" t="str">
        <f ca="1">IFERROR(
  VLOOKUP(A175, '1C'!C:Q, 15, 0),)</f>
        <v>Other</v>
      </c>
      <c r="F175" s="82">
        <f ca="1">IFERROR(
  VLOOKUP(A175, '1C'!C:S, 17, 0),)</f>
        <v>4</v>
      </c>
      <c r="G175" s="83">
        <f ca="1">IFERROR(
  VLOOKUP(A175, '1C'!C:U, 19, 0),)</f>
        <v>0</v>
      </c>
      <c r="H175" s="81" t="str">
        <f ca="1">IFERROR(
  VLOOKUP(A175, '1C'!C:G, 5, 0),)</f>
        <v>-</v>
      </c>
      <c r="I175" s="90">
        <f ca="1">IFERROR( VLOOKUP(A175, '1C'!C:I, 7, 0),)</f>
        <v>0</v>
      </c>
      <c r="J175" s="91" t="str">
        <f ca="1">IFERROR(
  VLOOKUP(A175, '1C'!C:H, 6, 0),)</f>
        <v>-</v>
      </c>
      <c r="K175" s="86"/>
      <c r="L175" s="92"/>
    </row>
    <row r="176" spans="1:12" ht="14.4">
      <c r="A176" s="93" t="str">
        <f ca="1">IFERROR(__xludf.DUMMYFUNCTION("iferror(IFERROR(
HYPERLINK(
  VLOOKUP(
    INDEX(UNIQUE(FLATTEN({'1C'!$W$2:W200,'1C'!$C$2:C200})), ROW(A174)), 
    '1C'!C:O, 12, 0),
  INDEX(UNIQUE(FLATTEN({'1C'!$W$2:W200,'1C'!$C$2:C200})), ROW(A174))),
MATCH(INDEX(UNIQUE(FLATTEN({'1C'!$W$2:W200,'1C'!$C"&amp;"$2:C200})), ROW(A174)), L$3:L200, 0)
),)"),"PS-220/24-1,5")</f>
        <v>PS-220/24-1,5</v>
      </c>
      <c r="B176" s="108">
        <f ca="1">IFERROR(
  VLOOKUP(A176, '1C'!C:E, 3, 0),)</f>
        <v>59</v>
      </c>
      <c r="C176" s="108">
        <f ca="1">IFERROR(
  VLOOKUP(A176, '1C'!C:Z, 24, 0),)</f>
        <v>59</v>
      </c>
      <c r="D176" s="80">
        <f ca="1">IFERROR(
  VLOOKUP(A176, '1C'!C:K, 9, 0),)</f>
        <v>0</v>
      </c>
      <c r="E176" s="81" t="str">
        <f ca="1">IFERROR(
  VLOOKUP(A176, '1C'!C:Q, 15, 0),)</f>
        <v>Other</v>
      </c>
      <c r="F176" s="82">
        <f ca="1">IFERROR(
  VLOOKUP(A176, '1C'!C:S, 17, 0),)</f>
        <v>4</v>
      </c>
      <c r="G176" s="83">
        <f ca="1">IFERROR(
  VLOOKUP(A176, '1C'!C:U, 19, 0),)</f>
        <v>0</v>
      </c>
      <c r="H176" s="81" t="str">
        <f ca="1">IFERROR(
  VLOOKUP(A176, '1C'!C:G, 5, 0),)</f>
        <v>-</v>
      </c>
      <c r="I176" s="90">
        <f ca="1">IFERROR( VLOOKUP(A176, '1C'!C:I, 7, 0),)</f>
        <v>0</v>
      </c>
      <c r="J176" s="91" t="str">
        <f ca="1">IFERROR(
  VLOOKUP(A176, '1C'!C:H, 6, 0),)</f>
        <v>-</v>
      </c>
      <c r="K176" s="86"/>
      <c r="L176" s="92"/>
    </row>
    <row r="177" spans="1:12" ht="14.4">
      <c r="A177" s="93" t="str">
        <f ca="1">IFERROR(__xludf.DUMMYFUNCTION("iferror(IFERROR(
HYPERLINK(
  VLOOKUP(
    INDEX(UNIQUE(FLATTEN({'1C'!$W$2:W200,'1C'!$C$2:C200})), ROW(A175)), 
    '1C'!C:O, 12, 0),
  INDEX(UNIQUE(FLATTEN({'1C'!$W$2:W200,'1C'!$C$2:C200})), ROW(A175))),
MATCH(INDEX(UNIQUE(FLATTEN({'1C'!$W$2:W200,'1C'!$C"&amp;"$2:C200})), ROW(A175)), L$3:L200, 0)
),)"),"PS-220/48-0,75")</f>
        <v>PS-220/48-0,75</v>
      </c>
      <c r="B177" s="108">
        <f ca="1">IFERROR(
  VLOOKUP(A177, '1C'!C:E, 3, 0),)</f>
        <v>59</v>
      </c>
      <c r="C177" s="108">
        <f ca="1">IFERROR(
  VLOOKUP(A177, '1C'!C:Z, 24, 0),)</f>
        <v>59</v>
      </c>
      <c r="D177" s="80">
        <f ca="1">IFERROR(
  VLOOKUP(A177, '1C'!C:K, 9, 0),)</f>
        <v>0</v>
      </c>
      <c r="E177" s="81" t="str">
        <f ca="1">IFERROR(
  VLOOKUP(A177, '1C'!C:Q, 15, 0),)</f>
        <v>Other</v>
      </c>
      <c r="F177" s="82">
        <f ca="1">IFERROR(
  VLOOKUP(A177, '1C'!C:S, 17, 0),)</f>
        <v>4</v>
      </c>
      <c r="G177" s="83">
        <f ca="1">IFERROR(
  VLOOKUP(A177, '1C'!C:U, 19, 0),)</f>
        <v>0</v>
      </c>
      <c r="H177" s="81" t="str">
        <f ca="1">IFERROR(
  VLOOKUP(A177, '1C'!C:G, 5, 0),)</f>
        <v>-</v>
      </c>
      <c r="I177" s="90">
        <f ca="1">IFERROR( VLOOKUP(A177, '1C'!C:I, 7, 0),)</f>
        <v>0</v>
      </c>
      <c r="J177" s="91" t="str">
        <f ca="1">IFERROR(
  VLOOKUP(A177, '1C'!C:H, 6, 0),)</f>
        <v>-</v>
      </c>
      <c r="K177" s="86"/>
      <c r="L177" s="92"/>
    </row>
    <row r="178" spans="1:12" ht="14.4">
      <c r="A178" s="93" t="str">
        <f ca="1">IFERROR(__xludf.DUMMYFUNCTION("iferror(IFERROR(
HYPERLINK(
  VLOOKUP(
    INDEX(UNIQUE(FLATTEN({'1C'!$W$2:W200,'1C'!$C$2:C200})), ROW(A176)), 
    '1C'!C:O, 12, 0),
  INDEX(UNIQUE(FLATTEN({'1C'!$W$2:W200,'1C'!$C$2:C200})), ROW(A176))),
MATCH(INDEX(UNIQUE(FLATTEN({'1C'!$W$2:W200,'1C'!$C"&amp;"$2:C200})), ROW(A176)), L$3:L200, 0)
),)"),"PS-220/5-7")</f>
        <v>PS-220/5-7</v>
      </c>
      <c r="B178" s="108">
        <f ca="1">IFERROR(
  VLOOKUP(A178, '1C'!C:E, 3, 0),)</f>
        <v>59</v>
      </c>
      <c r="C178" s="108">
        <f ca="1">IFERROR(
  VLOOKUP(A178, '1C'!C:Z, 24, 0),)</f>
        <v>59</v>
      </c>
      <c r="D178" s="80">
        <f ca="1">IFERROR(
  VLOOKUP(A178, '1C'!C:K, 9, 0),)</f>
        <v>0</v>
      </c>
      <c r="E178" s="81" t="str">
        <f ca="1">IFERROR(
  VLOOKUP(A178, '1C'!C:Q, 15, 0),)</f>
        <v>Other</v>
      </c>
      <c r="F178" s="82">
        <f ca="1">IFERROR(
  VLOOKUP(A178, '1C'!C:S, 17, 0),)</f>
        <v>4</v>
      </c>
      <c r="G178" s="83">
        <f ca="1">IFERROR(
  VLOOKUP(A178, '1C'!C:U, 19, 0),)</f>
        <v>0</v>
      </c>
      <c r="H178" s="81" t="str">
        <f ca="1">IFERROR(
  VLOOKUP(A178, '1C'!C:G, 5, 0),)</f>
        <v>-</v>
      </c>
      <c r="I178" s="90">
        <f ca="1">IFERROR( VLOOKUP(A178, '1C'!C:I, 7, 0),)</f>
        <v>0</v>
      </c>
      <c r="J178" s="91" t="str">
        <f ca="1">IFERROR(
  VLOOKUP(A178, '1C'!C:H, 6, 0),)</f>
        <v>-</v>
      </c>
      <c r="K178" s="86"/>
      <c r="L178" s="92"/>
    </row>
    <row r="179" spans="1:12" ht="14.4">
      <c r="A179" s="93" t="str">
        <f ca="1">IFERROR(__xludf.DUMMYFUNCTION("iferror(IFERROR(
HYPERLINK(
  VLOOKUP(
    INDEX(UNIQUE(FLATTEN({'1C'!$W$2:W200,'1C'!$C$2:C200})), ROW(A177)), 
    '1C'!C:O, 12, 0),
  INDEX(UNIQUE(FLATTEN({'1C'!$W$2:W200,'1C'!$C$2:C200})), ROW(A177))),
MATCH(INDEX(UNIQUE(FLATTEN({'1C'!$W$2:W200,'1C'!$C"&amp;"$2:C200})), ROW(A177)), L$3:L200, 0)
),)"),"Control panels")</f>
        <v>Control panels</v>
      </c>
      <c r="B179" s="108">
        <f ca="1">IFERROR(
  VLOOKUP(A179, '1C'!C:E, 3, 0),)</f>
        <v>0</v>
      </c>
      <c r="C179" s="108">
        <f ca="1">IFERROR(
  VLOOKUP(A179, '1C'!C:Z, 24, 0),)</f>
        <v>0</v>
      </c>
      <c r="D179" s="80">
        <f ca="1">IFERROR(
  VLOOKUP(A179, '1C'!C:K, 9, 0),)</f>
        <v>0</v>
      </c>
      <c r="E179" s="81">
        <f ca="1">IFERROR(
  VLOOKUP(A179, '1C'!C:Q, 15, 0),)</f>
        <v>0</v>
      </c>
      <c r="F179" s="82">
        <f ca="1">IFERROR(
  VLOOKUP(A179, '1C'!C:S, 17, 0),)</f>
        <v>0</v>
      </c>
      <c r="G179" s="83">
        <f ca="1">IFERROR(
  VLOOKUP(A179, '1C'!C:U, 19, 0),)</f>
        <v>0</v>
      </c>
      <c r="H179" s="81">
        <f ca="1">IFERROR(
  VLOOKUP(A179, '1C'!C:G, 5, 0),)</f>
        <v>0</v>
      </c>
      <c r="I179" s="90">
        <f ca="1">IFERROR( VLOOKUP(A179, '1C'!C:I, 7, 0),)</f>
        <v>0</v>
      </c>
      <c r="J179" s="91">
        <f ca="1">IFERROR(
  VLOOKUP(A179, '1C'!C:H, 6, 0),)</f>
        <v>0</v>
      </c>
      <c r="K179" s="86"/>
      <c r="L179" s="92"/>
    </row>
    <row r="180" spans="1:12" ht="14.4">
      <c r="A180" s="93" t="str">
        <f ca="1">IFERROR(__xludf.DUMMYFUNCTION("iferror(IFERROR(
HYPERLINK(
  VLOOKUP(
    INDEX(UNIQUE(FLATTEN({'1C'!$W$2:W200,'1C'!$C$2:C200})), ROW(A178)), 
    '1C'!C:O, 12, 0),
  INDEX(UNIQUE(FLATTEN({'1C'!$W$2:W200,'1C'!$C$2:C200})), ROW(A178))),
MATCH(INDEX(UNIQUE(FLATTEN({'1C'!$W$2:W200,'1C'!$C"&amp;"$2:C200})), ROW(A178)), L$3:L200, 0)
),)"),"ABP")</f>
        <v>ABP</v>
      </c>
      <c r="B180" s="108" t="str">
        <f ca="1">IFERROR(
  VLOOKUP(A180, '1C'!C:E, 3, 0),)</f>
        <v>on order</v>
      </c>
      <c r="C180" s="108" t="str">
        <f ca="1">IFERROR(
  VLOOKUP(A180, '1C'!C:Z, 24, 0),)</f>
        <v>on order</v>
      </c>
      <c r="D180" s="80" t="str">
        <f ca="1">IFERROR(
  VLOOKUP(A180, '1C'!C:K, 9, 0),)</f>
        <v>Control panel for automatic entry of the reserve, by order</v>
      </c>
      <c r="E180" s="81" t="str">
        <f ca="1">IFERROR(
  VLOOKUP(A180, '1C'!C:Q, 15, 0),)</f>
        <v>Control panel</v>
      </c>
      <c r="F180" s="82" t="str">
        <f ca="1">IFERROR(
  VLOOKUP(A180, '1C'!C:S, 17, 0),)</f>
        <v>-</v>
      </c>
      <c r="G180" s="83" t="str">
        <f ca="1">IFERROR(
  VLOOKUP(A180, '1C'!C:U, 19, 0),)</f>
        <v>-</v>
      </c>
      <c r="H180" s="81" t="str">
        <f ca="1">IFERROR(
  VLOOKUP(A180, '1C'!C:G, 5, 0),)</f>
        <v>-</v>
      </c>
      <c r="I180" s="90" t="str">
        <f ca="1">IFERROR( VLOOKUP(A180, '1C'!C:I, 7, 0),)</f>
        <v>-</v>
      </c>
      <c r="J180" s="91" t="str">
        <f ca="1">IFERROR(
  VLOOKUP(A180, '1C'!C:H, 6, 0),)</f>
        <v>-</v>
      </c>
      <c r="K180" s="86"/>
      <c r="L180" s="92"/>
    </row>
    <row r="181" spans="1:12" ht="14.4">
      <c r="A181" s="93" t="str">
        <f ca="1">IFERROR(__xludf.DUMMYFUNCTION("iferror(IFERROR(
HYPERLINK(
  VLOOKUP(
    INDEX(UNIQUE(FLATTEN({'1C'!$W$2:W200,'1C'!$C$2:C200})), ROW(A179)), 
    '1C'!C:O, 12, 0),
  INDEX(UNIQUE(FLATTEN({'1C'!$W$2:W200,'1C'!$C$2:C200})), ROW(A179))),
MATCH(INDEX(UNIQUE(FLATTEN({'1C'!$W$2:W200,'1C'!$C"&amp;"$2:C200})), ROW(A179)), L$3:L200, 0)
),)"),"Light")</f>
        <v>Light</v>
      </c>
      <c r="B181" s="108" t="str">
        <f ca="1">IFERROR(
  VLOOKUP(A181, '1C'!C:E, 3, 0),)</f>
        <v>on order</v>
      </c>
      <c r="C181" s="108" t="str">
        <f ca="1">IFERROR(
  VLOOKUP(A181, '1C'!C:Z, 24, 0),)</f>
        <v>on order</v>
      </c>
      <c r="D181" s="80" t="str">
        <f ca="1">IFERROR(
  VLOOKUP(A181, '1C'!C:K, 9, 0),)</f>
        <v>Control panel for outside lighting, by order</v>
      </c>
      <c r="E181" s="81" t="str">
        <f ca="1">IFERROR(
  VLOOKUP(A181, '1C'!C:Q, 15, 0),)</f>
        <v>Control panel</v>
      </c>
      <c r="F181" s="82" t="str">
        <f ca="1">IFERROR(
  VLOOKUP(A181, '1C'!C:S, 17, 0),)</f>
        <v>-</v>
      </c>
      <c r="G181" s="83" t="str">
        <f ca="1">IFERROR(
  VLOOKUP(A181, '1C'!C:U, 19, 0),)</f>
        <v>-</v>
      </c>
      <c r="H181" s="81" t="str">
        <f ca="1">IFERROR(
  VLOOKUP(A181, '1C'!C:G, 5, 0),)</f>
        <v>-</v>
      </c>
      <c r="I181" s="90" t="str">
        <f ca="1">IFERROR( VLOOKUP(A181, '1C'!C:I, 7, 0),)</f>
        <v>-</v>
      </c>
      <c r="J181" s="91">
        <f ca="1">IFERROR(
  VLOOKUP(A181, '1C'!C:H, 6, 0),)</f>
        <v>0</v>
      </c>
      <c r="K181" s="86"/>
      <c r="L181" s="92"/>
    </row>
    <row r="182" spans="1:12" ht="14.4">
      <c r="A182" s="93" t="str">
        <f ca="1">IFERROR(__xludf.DUMMYFUNCTION("iferror(IFERROR(
HYPERLINK(
  VLOOKUP(
    INDEX(UNIQUE(FLATTEN({'1C'!$W$2:W200,'1C'!$C$2:C200})), ROW(A180)), 
    '1C'!C:O, 12, 0),
  INDEX(UNIQUE(FLATTEN({'1C'!$W$2:W200,'1C'!$C$2:C200})), ROW(A180))),
MATCH(INDEX(UNIQUE(FLATTEN({'1C'!$W$2:W200,'1C'!$C"&amp;"$2:C200})), ROW(A180)), L$3:L200, 0)
),)"),"Lumen")</f>
        <v>Lumen</v>
      </c>
      <c r="B182" s="108" t="str">
        <f ca="1">IFERROR(
  VLOOKUP(A182, '1C'!C:E, 3, 0),)</f>
        <v>on order</v>
      </c>
      <c r="C182" s="108" t="str">
        <f ca="1">IFERROR(
  VLOOKUP(A182, '1C'!C:Z, 24, 0),)</f>
        <v>on order</v>
      </c>
      <c r="D182" s="80" t="str">
        <f ca="1">IFERROR(
  VLOOKUP(A182, '1C'!C:K, 9, 0),)</f>
        <v>Management and accounting of internal lighting lines overvis lumen</v>
      </c>
      <c r="E182" s="81" t="str">
        <f ca="1">IFERROR(
  VLOOKUP(A182, '1C'!C:Q, 15, 0),)</f>
        <v>Control panel</v>
      </c>
      <c r="F182" s="82" t="str">
        <f ca="1">IFERROR(
  VLOOKUP(A182, '1C'!C:S, 17, 0),)</f>
        <v>-</v>
      </c>
      <c r="G182" s="83" t="str">
        <f ca="1">IFERROR(
  VLOOKUP(A182, '1C'!C:U, 19, 0),)</f>
        <v>-</v>
      </c>
      <c r="H182" s="81" t="str">
        <f ca="1">IFERROR(
  VLOOKUP(A182, '1C'!C:G, 5, 0),)</f>
        <v>-</v>
      </c>
      <c r="I182" s="90" t="str">
        <f ca="1">IFERROR( VLOOKUP(A182, '1C'!C:I, 7, 0),)</f>
        <v>-</v>
      </c>
      <c r="J182" s="91">
        <f ca="1">IFERROR(
  VLOOKUP(A182, '1C'!C:H, 6, 0),)</f>
        <v>0</v>
      </c>
      <c r="K182" s="86"/>
      <c r="L182" s="92"/>
    </row>
    <row r="183" spans="1:12" ht="14.4">
      <c r="A183" s="93" t="str">
        <f ca="1">IFERROR(__xludf.DUMMYFUNCTION("iferror(IFERROR(
HYPERLINK(
  VLOOKUP(
    INDEX(UNIQUE(FLATTEN({'1C'!$W$2:W200,'1C'!$C$2:C200})), ROW(A181)), 
    '1C'!C:O, 12, 0),
  INDEX(UNIQUE(FLATTEN({'1C'!$W$2:W200,'1C'!$C$2:C200})), ROW(A181))),
MATCH(INDEX(UNIQUE(FLATTEN({'1C'!$W$2:W200,'1C'!$C"&amp;"$2:C200})), ROW(A181)), L$3:L200, 0)
),)"),"Pump")</f>
        <v>Pump</v>
      </c>
      <c r="B183" s="108" t="str">
        <f ca="1">IFERROR(
  VLOOKUP(A183, '1C'!C:E, 3, 0),)</f>
        <v>on order</v>
      </c>
      <c r="C183" s="108" t="str">
        <f ca="1">IFERROR(
  VLOOKUP(A183, '1C'!C:Z, 24, 0),)</f>
        <v>on order</v>
      </c>
      <c r="D183" s="80" t="str">
        <f ca="1">IFERROR(
  VLOOKUP(A183, '1C'!C:K, 9, 0),)</f>
        <v>Control room for the pumping station, by order</v>
      </c>
      <c r="E183" s="81" t="str">
        <f ca="1">IFERROR(
  VLOOKUP(A183, '1C'!C:Q, 15, 0),)</f>
        <v>Control panel</v>
      </c>
      <c r="F183" s="82" t="str">
        <f ca="1">IFERROR(
  VLOOKUP(A183, '1C'!C:S, 17, 0),)</f>
        <v>-</v>
      </c>
      <c r="G183" s="83" t="str">
        <f ca="1">IFERROR(
  VLOOKUP(A183, '1C'!C:U, 19, 0),)</f>
        <v>-</v>
      </c>
      <c r="H183" s="81" t="str">
        <f ca="1">IFERROR(
  VLOOKUP(A183, '1C'!C:G, 5, 0),)</f>
        <v>-</v>
      </c>
      <c r="I183" s="90" t="str">
        <f ca="1">IFERROR( VLOOKUP(A183, '1C'!C:I, 7, 0),)</f>
        <v>-</v>
      </c>
      <c r="J183" s="91">
        <f ca="1">IFERROR(
  VLOOKUP(A183, '1C'!C:H, 6, 0),)</f>
        <v>0</v>
      </c>
      <c r="K183" s="86"/>
      <c r="L183" s="92"/>
    </row>
    <row r="184" spans="1:12" ht="14.4">
      <c r="A184" s="93" t="str">
        <f ca="1">IFERROR(__xludf.DUMMYFUNCTION("iferror(IFERROR(
HYPERLINK(
  VLOOKUP(
    INDEX(UNIQUE(FLATTEN({'1C'!$W$2:W200,'1C'!$C$2:C200})), ROW(A182)), 
    '1C'!C:O, 12, 0),
  INDEX(UNIQUE(FLATTEN({'1C'!$W$2:W200,'1C'!$C$2:C200})), ROW(A182))),
MATCH(INDEX(UNIQUE(FLATTEN({'1C'!$W$2:W200,'1C'!$C"&amp;"$2:C200})), ROW(A182)), L$3:L200, 0)
),)"),"Climate")</f>
        <v>Climate</v>
      </c>
      <c r="B184" s="108" t="str">
        <f ca="1">IFERROR(
  VLOOKUP(A184, '1C'!C:E, 3, 0),)</f>
        <v>on order</v>
      </c>
      <c r="C184" s="108" t="str">
        <f ca="1">IFERROR(
  VLOOKUP(A184, '1C'!C:Z, 24, 0),)</f>
        <v>on order</v>
      </c>
      <c r="D184" s="80" t="str">
        <f ca="1">IFERROR(
  VLOOKUP(A184, '1C'!C:K, 9, 0),)</f>
        <v>Automation of the climate, by order</v>
      </c>
      <c r="E184" s="81" t="str">
        <f ca="1">IFERROR(
  VLOOKUP(A184, '1C'!C:Q, 15, 0),)</f>
        <v>Control panel</v>
      </c>
      <c r="F184" s="82" t="str">
        <f ca="1">IFERROR(
  VLOOKUP(A184, '1C'!C:S, 17, 0),)</f>
        <v>-</v>
      </c>
      <c r="G184" s="83" t="str">
        <f ca="1">IFERROR(
  VLOOKUP(A184, '1C'!C:U, 19, 0),)</f>
        <v>-</v>
      </c>
      <c r="H184" s="81" t="str">
        <f ca="1">IFERROR(
  VLOOKUP(A184, '1C'!C:G, 5, 0),)</f>
        <v>-</v>
      </c>
      <c r="I184" s="90" t="str">
        <f ca="1">IFERROR( VLOOKUP(A184, '1C'!C:I, 7, 0),)</f>
        <v>-</v>
      </c>
      <c r="J184" s="91" t="str">
        <f ca="1">IFERROR(
  VLOOKUP(A184, '1C'!C:H, 6, 0),)</f>
        <v>-</v>
      </c>
      <c r="K184" s="86"/>
      <c r="L184" s="92"/>
    </row>
    <row r="185" spans="1:12" ht="14.4">
      <c r="A185" s="93" t="str">
        <f ca="1">IFERROR(__xludf.DUMMYFUNCTION("iferror(IFERROR(
HYPERLINK(
  VLOOKUP(
    INDEX(UNIQUE(FLATTEN({'1C'!$W$2:W200,'1C'!$C$2:C200})), ROW(A183)), 
    '1C'!C:O, 12, 0),
  INDEX(UNIQUE(FLATTEN({'1C'!$W$2:W200,'1C'!$C$2:C200})), ROW(A183))),
MATCH(INDEX(UNIQUE(FLATTEN({'1C'!$W$2:W200,'1C'!$C"&amp;"$2:C200})), ROW(A183)), L$3:L200, 0)
),)"),"Pool")</f>
        <v>Pool</v>
      </c>
      <c r="B185" s="108" t="str">
        <f ca="1">IFERROR(
  VLOOKUP(A185, '1C'!C:E, 3, 0),)</f>
        <v>on order</v>
      </c>
      <c r="C185" s="108" t="str">
        <f ca="1">IFERROR(
  VLOOKUP(A185, '1C'!C:Z, 24, 0),)</f>
        <v>on order</v>
      </c>
      <c r="D185" s="80" t="str">
        <f ca="1">IFERROR(
  VLOOKUP(A185, '1C'!C:K, 9, 0),)</f>
        <v>Automating the management of the swimming pool, by order</v>
      </c>
      <c r="E185" s="81" t="str">
        <f ca="1">IFERROR(
  VLOOKUP(A185, '1C'!C:Q, 15, 0),)</f>
        <v>Control panel</v>
      </c>
      <c r="F185" s="82" t="str">
        <f ca="1">IFERROR(
  VLOOKUP(A185, '1C'!C:S, 17, 0),)</f>
        <v>-</v>
      </c>
      <c r="G185" s="83" t="str">
        <f ca="1">IFERROR(
  VLOOKUP(A185, '1C'!C:U, 19, 0),)</f>
        <v>-</v>
      </c>
      <c r="H185" s="81" t="str">
        <f ca="1">IFERROR(
  VLOOKUP(A185, '1C'!C:G, 5, 0),)</f>
        <v>-</v>
      </c>
      <c r="I185" s="90" t="str">
        <f ca="1">IFERROR( VLOOKUP(A185, '1C'!C:I, 7, 0),)</f>
        <v>-</v>
      </c>
      <c r="J185" s="91">
        <f ca="1">IFERROR(
  VLOOKUP(A185, '1C'!C:H, 6, 0),)</f>
        <v>0</v>
      </c>
      <c r="K185" s="86"/>
      <c r="L185" s="92"/>
    </row>
    <row r="186" spans="1:12" ht="14.4">
      <c r="A186" s="93" t="str">
        <f ca="1">IFERROR(__xludf.DUMMYFUNCTION("iferror(IFERROR(
HYPERLINK(
  VLOOKUP(
    INDEX(UNIQUE(FLATTEN({'1C'!$W$2:W200,'1C'!$C$2:C200})), ROW(A184)), 
    '1C'!C:O, 12, 0),
  INDEX(UNIQUE(FLATTEN({'1C'!$W$2:W200,'1C'!$C$2:C200})), ROW(A184))),
MATCH(INDEX(UNIQUE(FLATTEN({'1C'!$W$2:W200,'1C'!$C"&amp;"$2:C200})), ROW(A184)), L$3:L200, 0)
),)"),"Ice")</f>
        <v>Ice</v>
      </c>
      <c r="B186" s="108" t="str">
        <f ca="1">IFERROR(
  VLOOKUP(A186, '1C'!C:E, 3, 0),)</f>
        <v>on order</v>
      </c>
      <c r="C186" s="108" t="str">
        <f ca="1">IFERROR(
  VLOOKUP(A186, '1C'!C:Z, 24, 0),)</f>
        <v>on order</v>
      </c>
      <c r="D186" s="80" t="str">
        <f ca="1">IFERROR(
  VLOOKUP(A186, '1C'!C:K, 9, 0),)</f>
        <v>Monitoring and remote control for refrigeration equipment</v>
      </c>
      <c r="E186" s="81" t="str">
        <f ca="1">IFERROR(
  VLOOKUP(A186, '1C'!C:Q, 15, 0),)</f>
        <v>Control panel</v>
      </c>
      <c r="F186" s="82" t="str">
        <f ca="1">IFERROR(
  VLOOKUP(A186, '1C'!C:S, 17, 0),)</f>
        <v>-</v>
      </c>
      <c r="G186" s="83" t="str">
        <f ca="1">IFERROR(
  VLOOKUP(A186, '1C'!C:U, 19, 0),)</f>
        <v>-</v>
      </c>
      <c r="H186" s="81" t="str">
        <f ca="1">IFERROR(
  VLOOKUP(A186, '1C'!C:G, 5, 0),)</f>
        <v>-</v>
      </c>
      <c r="I186" s="90" t="str">
        <f ca="1">IFERROR( VLOOKUP(A186, '1C'!C:I, 7, 0),)</f>
        <v>-</v>
      </c>
      <c r="J186" s="91">
        <f ca="1">IFERROR(
  VLOOKUP(A186, '1C'!C:H, 6, 0),)</f>
        <v>0</v>
      </c>
      <c r="K186" s="86"/>
      <c r="L186" s="92"/>
    </row>
    <row r="187" spans="1:12" ht="14.4">
      <c r="A187" s="93" t="str">
        <f ca="1">IFERROR(__xludf.DUMMYFUNCTION("iferror(IFERROR(
HYPERLINK(
  VLOOKUP(
    INDEX(UNIQUE(FLATTEN({'1C'!$W$2:W200,'1C'!$C$2:C200})), ROW(A185)), 
    '1C'!C:O, 12, 0),
  INDEX(UNIQUE(FLATTEN({'1C'!$W$2:W200,'1C'!$C$2:C200})), ROW(A185))),
MATCH(INDEX(UNIQUE(FLATTEN({'1C'!$W$2:W200,'1C'!$C"&amp;"$2:C200})), ROW(A185)), L$3:L200, 0)
),)"),"Smart House")</f>
        <v>Smart House</v>
      </c>
      <c r="B187" s="108" t="str">
        <f ca="1">IFERROR(
  VLOOKUP(A187, '1C'!C:E, 3, 0),)</f>
        <v>on order</v>
      </c>
      <c r="C187" s="108" t="str">
        <f ca="1">IFERROR(
  VLOOKUP(A187, '1C'!C:Z, 24, 0),)</f>
        <v>on order</v>
      </c>
      <c r="D187" s="80" t="str">
        <f ca="1">IFERROR(
  VLOOKUP(A187, '1C'!C:K, 9, 0),)</f>
        <v>Overvis smart house</v>
      </c>
      <c r="E187" s="81" t="str">
        <f ca="1">IFERROR(
  VLOOKUP(A187, '1C'!C:Q, 15, 0),)</f>
        <v>Control panel</v>
      </c>
      <c r="F187" s="82" t="str">
        <f ca="1">IFERROR(
  VLOOKUP(A187, '1C'!C:S, 17, 0),)</f>
        <v>-</v>
      </c>
      <c r="G187" s="83" t="str">
        <f ca="1">IFERROR(
  VLOOKUP(A187, '1C'!C:U, 19, 0),)</f>
        <v>-</v>
      </c>
      <c r="H187" s="81" t="str">
        <f ca="1">IFERROR(
  VLOOKUP(A187, '1C'!C:G, 5, 0),)</f>
        <v>-</v>
      </c>
      <c r="I187" s="90" t="str">
        <f ca="1">IFERROR( VLOOKUP(A187, '1C'!C:I, 7, 0),)</f>
        <v>-</v>
      </c>
      <c r="J187" s="91" t="str">
        <f ca="1">IFERROR(
  VLOOKUP(A187, '1C'!C:H, 6, 0),)</f>
        <v>-</v>
      </c>
      <c r="K187" s="86"/>
      <c r="L187" s="92"/>
    </row>
    <row r="188" spans="1:12" ht="14.4">
      <c r="A188" s="93" t="str">
        <f ca="1">IFERROR(__xludf.DUMMYFUNCTION("iferror(IFERROR(
HYPERLINK(
  VLOOKUP(
    INDEX(UNIQUE(FLATTEN({'1C'!$W$2:W200,'1C'!$C$2:C200})), ROW(A186)), 
    '1C'!C:O, 12, 0),
  INDEX(UNIQUE(FLATTEN({'1C'!$W$2:W200,'1C'!$C$2:C200})), ROW(A186))),
MATCH(INDEX(UNIQUE(FLATTEN({'1C'!$W$2:W200,'1C'!$C"&amp;"$2:C200})), ROW(A186)), L$3:L200, 0)
),)"),"Heat")</f>
        <v>Heat</v>
      </c>
      <c r="B188" s="108" t="str">
        <f ca="1">IFERROR(
  VLOOKUP(A188, '1C'!C:E, 3, 0),)</f>
        <v>on order</v>
      </c>
      <c r="C188" s="108" t="str">
        <f ca="1">IFERROR(
  VLOOKUP(A188, '1C'!C:Z, 24, 0),)</f>
        <v>on order</v>
      </c>
      <c r="D188" s="80" t="str">
        <f ca="1">IFERROR(
  VLOOKUP(A188, '1C'!C:K, 9, 0),)</f>
        <v>Electric and water heating control overvis electroheat</v>
      </c>
      <c r="E188" s="81" t="str">
        <f ca="1">IFERROR(
  VLOOKUP(A188, '1C'!C:Q, 15, 0),)</f>
        <v>Control panel</v>
      </c>
      <c r="F188" s="82" t="str">
        <f ca="1">IFERROR(
  VLOOKUP(A188, '1C'!C:S, 17, 0),)</f>
        <v>-</v>
      </c>
      <c r="G188" s="83" t="str">
        <f ca="1">IFERROR(
  VLOOKUP(A188, '1C'!C:U, 19, 0),)</f>
        <v>-</v>
      </c>
      <c r="H188" s="81" t="str">
        <f ca="1">IFERROR(
  VLOOKUP(A188, '1C'!C:G, 5, 0),)</f>
        <v>-</v>
      </c>
      <c r="I188" s="90" t="str">
        <f ca="1">IFERROR( VLOOKUP(A188, '1C'!C:I, 7, 0),)</f>
        <v>-</v>
      </c>
      <c r="J188" s="91">
        <f ca="1">IFERROR(
  VLOOKUP(A188, '1C'!C:H, 6, 0),)</f>
        <v>0</v>
      </c>
      <c r="K188" s="86"/>
      <c r="L188" s="92"/>
    </row>
    <row r="189" spans="1:12" ht="14.4">
      <c r="A189" s="93" t="str">
        <f ca="1">IFERROR(__xludf.DUMMYFUNCTION("iferror(IFERROR(
HYPERLINK(
  VLOOKUP(
    INDEX(UNIQUE(FLATTEN({'1C'!$W$2:W200,'1C'!$C$2:C200})), ROW(A187)), 
    '1C'!C:O, 12, 0),
  INDEX(UNIQUE(FLATTEN({'1C'!$W$2:W200,'1C'!$C$2:C200})), ROW(A187))),
MATCH(INDEX(UNIQUE(FLATTEN({'1C'!$W$2:W200,'1C'!$C"&amp;"$2:C200})), ROW(A187)), L$3:L200, 0)
),)"),"Village")</f>
        <v>Village</v>
      </c>
      <c r="B189" s="108" t="str">
        <f ca="1">IFERROR(
  VLOOKUP(A189, '1C'!C:E, 3, 0),)</f>
        <v>on order</v>
      </c>
      <c r="C189" s="108" t="str">
        <f ca="1">IFERROR(
  VLOOKUP(A189, '1C'!C:Z, 24, 0),)</f>
        <v>on order</v>
      </c>
      <c r="D189" s="80" t="str">
        <f ca="1">IFERROR(
  VLOOKUP(A189, '1C'!C:K, 9, 0),)</f>
        <v>Management and protection of the electric power grid of the cottage village overvis village</v>
      </c>
      <c r="E189" s="81" t="str">
        <f ca="1">IFERROR(
  VLOOKUP(A189, '1C'!C:Q, 15, 0),)</f>
        <v>Control panel</v>
      </c>
      <c r="F189" s="82" t="str">
        <f ca="1">IFERROR(
  VLOOKUP(A189, '1C'!C:S, 17, 0),)</f>
        <v>-</v>
      </c>
      <c r="G189" s="83" t="str">
        <f ca="1">IFERROR(
  VLOOKUP(A189, '1C'!C:U, 19, 0),)</f>
        <v>-</v>
      </c>
      <c r="H189" s="81" t="str">
        <f ca="1">IFERROR(
  VLOOKUP(A189, '1C'!C:G, 5, 0),)</f>
        <v>-</v>
      </c>
      <c r="I189" s="90" t="str">
        <f ca="1">IFERROR( VLOOKUP(A189, '1C'!C:I, 7, 0),)</f>
        <v>-</v>
      </c>
      <c r="J189" s="91">
        <f ca="1">IFERROR(
  VLOOKUP(A189, '1C'!C:H, 6, 0),)</f>
        <v>0</v>
      </c>
      <c r="K189" s="86"/>
      <c r="L189" s="92"/>
    </row>
    <row r="190" spans="1:12" ht="14.4">
      <c r="A190" s="93" t="str">
        <f ca="1">IFERROR(__xludf.DUMMYFUNCTION("iferror(IFERROR(
HYPERLINK(
  VLOOKUP(
    INDEX(UNIQUE(FLATTEN({'1C'!$W$2:W200,'1C'!$C$2:C200})), ROW(A188)), 
    '1C'!C:O, 12, 0),
  INDEX(UNIQUE(FLATTEN({'1C'!$W$2:W200,'1C'!$C$2:C200})), ROW(A188))),
MATCH(INDEX(UNIQUE(FLATTEN({'1C'!$W$2:W200,'1C'!$C"&amp;"$2:C200})), ROW(A188)), L$3:L200, 0)
),)"),"")</f>
        <v/>
      </c>
      <c r="B190" s="108">
        <f ca="1">IFERROR(
  VLOOKUP(A190, '1C'!C:E, 3, 0),)</f>
        <v>0</v>
      </c>
      <c r="C190" s="108"/>
      <c r="D190" s="80">
        <f ca="1">IFERROR(
  VLOOKUP(A190, '1C'!C:K, 9, 0),)</f>
        <v>0</v>
      </c>
      <c r="E190" s="81">
        <f ca="1">IFERROR(
  VLOOKUP(A190, '1C'!C:Q, 15, 0),)</f>
        <v>0</v>
      </c>
      <c r="F190" s="82">
        <f ca="1">IFERROR(
  VLOOKUP(A190, '1C'!C:S, 17, 0),)</f>
        <v>0</v>
      </c>
      <c r="G190" s="83">
        <f ca="1">IFERROR(
  VLOOKUP(A190, '1C'!C:U, 19, 0),)</f>
        <v>0</v>
      </c>
      <c r="H190" s="81">
        <f ca="1">IFERROR(
  VLOOKUP(A190, '1C'!C:G, 5, 0),)</f>
        <v>0</v>
      </c>
      <c r="I190" s="90">
        <f ca="1">IFERROR( VLOOKUP(A190, '1C'!C:I, 7, 0),)</f>
        <v>0</v>
      </c>
      <c r="J190" s="91">
        <f ca="1">IFERROR(
  VLOOKUP(A190, '1C'!C:H, 6, 0),)</f>
        <v>0</v>
      </c>
      <c r="K190" s="86"/>
      <c r="L190" s="92"/>
    </row>
    <row r="191" spans="1:12" ht="14.4">
      <c r="A191" s="93" t="str">
        <f ca="1">IFERROR(__xludf.DUMMYFUNCTION("iferror(IFERROR(
HYPERLINK(
  VLOOKUP(
    INDEX(UNIQUE(FLATTEN({'1C'!$W$2:W200,'1C'!$C$2:C200})), ROW(A189)), 
    '1C'!C:O, 12, 0),
  INDEX(UNIQUE(FLATTEN({'1C'!$W$2:W200,'1C'!$C$2:C200})), ROW(A189))),
MATCH(INDEX(UNIQUE(FLATTEN({'1C'!$W$2:W200,'1C'!$C"&amp;"$2:C200})), ROW(A189)), L$3:L200, 0)
),)"),"")</f>
        <v/>
      </c>
      <c r="B191" s="108">
        <f ca="1">IFERROR(
  VLOOKUP(A191, '1C'!C:E, 3, 0),)</f>
        <v>0</v>
      </c>
      <c r="C191" s="108"/>
      <c r="D191" s="80">
        <f ca="1">IFERROR(
  VLOOKUP(A191, '1C'!C:K, 9, 0),)</f>
        <v>0</v>
      </c>
      <c r="E191" s="81">
        <f ca="1">IFERROR(
  VLOOKUP(A191, '1C'!C:Q, 15, 0),)</f>
        <v>0</v>
      </c>
      <c r="F191" s="82">
        <f ca="1">IFERROR(
  VLOOKUP(A191, '1C'!C:S, 17, 0),)</f>
        <v>0</v>
      </c>
      <c r="G191" s="83">
        <f ca="1">IFERROR(
  VLOOKUP(A191, '1C'!C:U, 19, 0),)</f>
        <v>0</v>
      </c>
      <c r="H191" s="81">
        <f ca="1">IFERROR(
  VLOOKUP(A191, '1C'!C:G, 5, 0),)</f>
        <v>0</v>
      </c>
      <c r="I191" s="90">
        <f ca="1">IFERROR( VLOOKUP(A191, '1C'!C:I, 7, 0),)</f>
        <v>0</v>
      </c>
      <c r="J191" s="91">
        <f ca="1">IFERROR(
  VLOOKUP(A191, '1C'!C:H, 6, 0),)</f>
        <v>0</v>
      </c>
      <c r="K191" s="86"/>
      <c r="L191" s="92"/>
    </row>
    <row r="192" spans="1:12" ht="14.4">
      <c r="A192" s="93" t="str">
        <f ca="1">IFERROR(__xludf.DUMMYFUNCTION("iferror(IFERROR(
HYPERLINK(
  VLOOKUP(
    INDEX(UNIQUE(FLATTEN({'1C'!$W$2:W200,'1C'!$C$2:C200})), ROW(A190)), 
    '1C'!C:O, 12, 0),
  INDEX(UNIQUE(FLATTEN({'1C'!$W$2:W200,'1C'!$C$2:C200})), ROW(A190))),
MATCH(INDEX(UNIQUE(FLATTEN({'1C'!$W$2:W200,'1C'!$C"&amp;"$2:C200})), ROW(A190)), L$3:L200, 0)
),)"),"")</f>
        <v/>
      </c>
      <c r="B192" s="108">
        <f ca="1">IFERROR(
  VLOOKUP(A192, '1C'!C:E, 3, 0),)</f>
        <v>0</v>
      </c>
      <c r="C192" s="108"/>
      <c r="D192" s="80">
        <f ca="1">IFERROR(
  VLOOKUP(A192, '1C'!C:K, 9, 0),)</f>
        <v>0</v>
      </c>
      <c r="E192" s="81">
        <f ca="1">IFERROR(
  VLOOKUP(A192, '1C'!C:Q, 15, 0),)</f>
        <v>0</v>
      </c>
      <c r="F192" s="82">
        <f ca="1">IFERROR(
  VLOOKUP(A192, '1C'!C:S, 17, 0),)</f>
        <v>0</v>
      </c>
      <c r="G192" s="83">
        <f ca="1">IFERROR(
  VLOOKUP(A192, '1C'!C:U, 19, 0),)</f>
        <v>0</v>
      </c>
      <c r="H192" s="81">
        <f ca="1">IFERROR(
  VLOOKUP(A192, '1C'!C:G, 5, 0),)</f>
        <v>0</v>
      </c>
      <c r="I192" s="90">
        <f ca="1">IFERROR( VLOOKUP(A192, '1C'!C:I, 7, 0),)</f>
        <v>0</v>
      </c>
      <c r="J192" s="91">
        <f ca="1">IFERROR(
  VLOOKUP(A192, '1C'!C:H, 6, 0),)</f>
        <v>0</v>
      </c>
      <c r="K192" s="86"/>
      <c r="L192" s="92"/>
    </row>
    <row r="193" spans="1:12" ht="14.4">
      <c r="A193" s="93" t="str">
        <f ca="1">IFERROR(__xludf.DUMMYFUNCTION("iferror(IFERROR(
HYPERLINK(
  VLOOKUP(
    INDEX(UNIQUE(FLATTEN({'1C'!$W$2:W200,'1C'!$C$2:C200})), ROW(A191)), 
    '1C'!C:O, 12, 0),
  INDEX(UNIQUE(FLATTEN({'1C'!$W$2:W200,'1C'!$C$2:C200})), ROW(A191))),
MATCH(INDEX(UNIQUE(FLATTEN({'1C'!$W$2:W200,'1C'!$C"&amp;"$2:C200})), ROW(A191)), L$3:L200, 0)
),)"),"")</f>
        <v/>
      </c>
      <c r="B193" s="108">
        <f ca="1">IFERROR(
  VLOOKUP(A193, '1C'!C:E, 3, 0),)</f>
        <v>0</v>
      </c>
      <c r="C193" s="108"/>
      <c r="D193" s="80">
        <f ca="1">IFERROR(
  VLOOKUP(A193, '1C'!C:K, 9, 0),)</f>
        <v>0</v>
      </c>
      <c r="E193" s="81">
        <f ca="1">IFERROR(
  VLOOKUP(A193, '1C'!C:Q, 15, 0),)</f>
        <v>0</v>
      </c>
      <c r="F193" s="82">
        <f ca="1">IFERROR(
  VLOOKUP(A193, '1C'!C:S, 17, 0),)</f>
        <v>0</v>
      </c>
      <c r="G193" s="83">
        <f ca="1">IFERROR(
  VLOOKUP(A193, '1C'!C:U, 19, 0),)</f>
        <v>0</v>
      </c>
      <c r="H193" s="81">
        <f ca="1">IFERROR(
  VLOOKUP(A193, '1C'!C:G, 5, 0),)</f>
        <v>0</v>
      </c>
      <c r="I193" s="90">
        <f ca="1">IFERROR( VLOOKUP(A193, '1C'!C:I, 7, 0),)</f>
        <v>0</v>
      </c>
      <c r="J193" s="91">
        <f ca="1">IFERROR(
  VLOOKUP(A193, '1C'!C:H, 6, 0),)</f>
        <v>0</v>
      </c>
      <c r="K193" s="86"/>
      <c r="L193" s="92"/>
    </row>
    <row r="194" spans="1:12" ht="14.4">
      <c r="A194" s="93" t="str">
        <f ca="1">IFERROR(__xludf.DUMMYFUNCTION("iferror(IFERROR(
HYPERLINK(
  VLOOKUP(
    INDEX(UNIQUE(FLATTEN({'1C'!$W$2:W200,'1C'!$C$2:C200})), ROW(A192)), 
    '1C'!C:O, 12, 0),
  INDEX(UNIQUE(FLATTEN({'1C'!$W$2:W200,'1C'!$C$2:C200})), ROW(A192))),
MATCH(INDEX(UNIQUE(FLATTEN({'1C'!$W$2:W200,'1C'!$C"&amp;"$2:C200})), ROW(A192)), L$3:L200, 0)
),)"),"")</f>
        <v/>
      </c>
      <c r="B194" s="108">
        <f ca="1">IFERROR(
  VLOOKUP(A194, '1C'!C:E, 3, 0),)</f>
        <v>0</v>
      </c>
      <c r="C194" s="108"/>
      <c r="D194" s="80">
        <f ca="1">IFERROR(
  VLOOKUP(A194, '1C'!C:K, 9, 0),)</f>
        <v>0</v>
      </c>
      <c r="E194" s="81">
        <f ca="1">IFERROR(
  VLOOKUP(A194, '1C'!C:Q, 15, 0),)</f>
        <v>0</v>
      </c>
      <c r="F194" s="82">
        <f ca="1">IFERROR(
  VLOOKUP(A194, '1C'!C:S, 17, 0),)</f>
        <v>0</v>
      </c>
      <c r="G194" s="83">
        <f ca="1">IFERROR(
  VLOOKUP(A194, '1C'!C:U, 19, 0),)</f>
        <v>0</v>
      </c>
      <c r="H194" s="81">
        <f ca="1">IFERROR(
  VLOOKUP(A194, '1C'!C:G, 5, 0),)</f>
        <v>0</v>
      </c>
      <c r="I194" s="90">
        <f ca="1">IFERROR( VLOOKUP(A194, '1C'!C:I, 7, 0),)</f>
        <v>0</v>
      </c>
      <c r="J194" s="91">
        <f ca="1">IFERROR(
  VLOOKUP(A194, '1C'!C:H, 6, 0),)</f>
        <v>0</v>
      </c>
      <c r="K194" s="86"/>
      <c r="L194" s="92"/>
    </row>
    <row r="195" spans="1:12" ht="14.4">
      <c r="A195" s="93" t="str">
        <f ca="1">IFERROR(__xludf.DUMMYFUNCTION("iferror(IFERROR(
HYPERLINK(
  VLOOKUP(
    INDEX(UNIQUE(FLATTEN({'1C'!$W$2:W200,'1C'!$C$2:C200})), ROW(A193)), 
    '1C'!C:O, 12, 0),
  INDEX(UNIQUE(FLATTEN({'1C'!$W$2:W200,'1C'!$C$2:C200})), ROW(A193))),
MATCH(INDEX(UNIQUE(FLATTEN({'1C'!$W$2:W200,'1C'!$C"&amp;"$2:C200})), ROW(A193)), L$3:L200, 0)
),)"),"")</f>
        <v/>
      </c>
      <c r="B195" s="108">
        <f ca="1">IFERROR(
  VLOOKUP(A195, '1C'!C:E, 3, 0),)</f>
        <v>0</v>
      </c>
      <c r="C195" s="108"/>
      <c r="D195" s="80">
        <f ca="1">IFERROR(
  VLOOKUP(A195, '1C'!C:K, 9, 0),)</f>
        <v>0</v>
      </c>
      <c r="E195" s="81">
        <f ca="1">IFERROR(
  VLOOKUP(A195, '1C'!C:Q, 15, 0),)</f>
        <v>0</v>
      </c>
      <c r="F195" s="82">
        <f ca="1">IFERROR(
  VLOOKUP(A195, '1C'!C:S, 17, 0),)</f>
        <v>0</v>
      </c>
      <c r="G195" s="83">
        <f ca="1">IFERROR(
  VLOOKUP(A195, '1C'!C:U, 19, 0),)</f>
        <v>0</v>
      </c>
      <c r="H195" s="81">
        <f ca="1">IFERROR(
  VLOOKUP(A195, '1C'!C:G, 5, 0),)</f>
        <v>0</v>
      </c>
      <c r="I195" s="90">
        <f ca="1">IFERROR( VLOOKUP(A195, '1C'!C:I, 7, 0),)</f>
        <v>0</v>
      </c>
      <c r="J195" s="91">
        <f ca="1">IFERROR(
  VLOOKUP(A195, '1C'!C:H, 6, 0),)</f>
        <v>0</v>
      </c>
      <c r="K195" s="86"/>
      <c r="L195" s="92"/>
    </row>
    <row r="196" spans="1:12" ht="14.4">
      <c r="A196" s="93" t="str">
        <f ca="1">IFERROR(__xludf.DUMMYFUNCTION("iferror(IFERROR(
HYPERLINK(
  VLOOKUP(
    INDEX(UNIQUE(FLATTEN({'1C'!$W$2:W200,'1C'!$C$2:C200})), ROW(A194)), 
    '1C'!C:O, 12, 0),
  INDEX(UNIQUE(FLATTEN({'1C'!$W$2:W200,'1C'!$C$2:C200})), ROW(A194))),
MATCH(INDEX(UNIQUE(FLATTEN({'1C'!$W$2:W200,'1C'!$C"&amp;"$2:C200})), ROW(A194)), L$3:L200, 0)
),)"),"")</f>
        <v/>
      </c>
      <c r="B196" s="108">
        <f ca="1">IFERROR(
  VLOOKUP(A196, '1C'!C:E, 3, 0),)</f>
        <v>0</v>
      </c>
      <c r="C196" s="108"/>
      <c r="D196" s="80">
        <f ca="1">IFERROR(
  VLOOKUP(A196, '1C'!C:K, 9, 0),)</f>
        <v>0</v>
      </c>
      <c r="E196" s="81">
        <f ca="1">IFERROR(
  VLOOKUP(A196, '1C'!C:Q, 15, 0),)</f>
        <v>0</v>
      </c>
      <c r="F196" s="82">
        <f ca="1">IFERROR(
  VLOOKUP(A196, '1C'!C:S, 17, 0),)</f>
        <v>0</v>
      </c>
      <c r="G196" s="83">
        <f ca="1">IFERROR(
  VLOOKUP(A196, '1C'!C:U, 19, 0),)</f>
        <v>0</v>
      </c>
      <c r="H196" s="81">
        <f ca="1">IFERROR(
  VLOOKUP(A196, '1C'!C:G, 5, 0),)</f>
        <v>0</v>
      </c>
      <c r="I196" s="90">
        <f ca="1">IFERROR( VLOOKUP(A196, '1C'!C:I, 7, 0),)</f>
        <v>0</v>
      </c>
      <c r="J196" s="91">
        <f ca="1">IFERROR(
  VLOOKUP(A196, '1C'!C:H, 6, 0),)</f>
        <v>0</v>
      </c>
      <c r="K196" s="86"/>
      <c r="L196" s="92"/>
    </row>
    <row r="197" spans="1:12" ht="14.4">
      <c r="A197" s="93" t="str">
        <f ca="1">IFERROR(__xludf.DUMMYFUNCTION("iferror(IFERROR(
HYPERLINK(
  VLOOKUP(
    INDEX(UNIQUE(FLATTEN({'1C'!$W$2:W200,'1C'!$C$2:C200})), ROW(A195)), 
    '1C'!C:O, 12, 0),
  INDEX(UNIQUE(FLATTEN({'1C'!$W$2:W200,'1C'!$C$2:C200})), ROW(A195))),
MATCH(INDEX(UNIQUE(FLATTEN({'1C'!$W$2:W200,'1C'!$C"&amp;"$2:C200})), ROW(A195)), L$3:L200, 0)
),)"),"")</f>
        <v/>
      </c>
      <c r="B197" s="108">
        <f ca="1">IFERROR(
  VLOOKUP(A197, '1C'!C:E, 3, 0),)</f>
        <v>0</v>
      </c>
      <c r="C197" s="108"/>
      <c r="D197" s="80">
        <f ca="1">IFERROR(
  VLOOKUP(A197, '1C'!C:K, 9, 0),)</f>
        <v>0</v>
      </c>
      <c r="E197" s="81">
        <f ca="1">IFERROR(
  VLOOKUP(A197, '1C'!C:Q, 15, 0),)</f>
        <v>0</v>
      </c>
      <c r="F197" s="82">
        <f ca="1">IFERROR(
  VLOOKUP(A197, '1C'!C:S, 17, 0),)</f>
        <v>0</v>
      </c>
      <c r="G197" s="83">
        <f ca="1">IFERROR(
  VLOOKUP(A197, '1C'!C:U, 19, 0),)</f>
        <v>0</v>
      </c>
      <c r="H197" s="81">
        <f ca="1">IFERROR(
  VLOOKUP(A197, '1C'!C:G, 5, 0),)</f>
        <v>0</v>
      </c>
      <c r="I197" s="90">
        <f ca="1">IFERROR( VLOOKUP(A197, '1C'!C:I, 7, 0),)</f>
        <v>0</v>
      </c>
      <c r="J197" s="91">
        <f ca="1">IFERROR(
  VLOOKUP(A197, '1C'!C:H, 6, 0),)</f>
        <v>0</v>
      </c>
      <c r="K197" s="86"/>
      <c r="L197" s="92"/>
    </row>
    <row r="198" spans="1:12" ht="14.4">
      <c r="A198" s="93" t="str">
        <f ca="1">IFERROR(__xludf.DUMMYFUNCTION("iferror(IFERROR(
HYPERLINK(
  VLOOKUP(
    INDEX(UNIQUE(FLATTEN({'1C'!$W$2:W200,'1C'!$C$2:C200})), ROW(A196)), 
    '1C'!C:O, 12, 0),
  INDEX(UNIQUE(FLATTEN({'1C'!$W$2:W200,'1C'!$C$2:C200})), ROW(A196))),
MATCH(INDEX(UNIQUE(FLATTEN({'1C'!$W$2:W200,'1C'!$C"&amp;"$2:C200})), ROW(A196)), L$3:L200, 0)
),)"),"")</f>
        <v/>
      </c>
      <c r="B198" s="108">
        <f ca="1">IFERROR(
  VLOOKUP(A198, '1C'!C:E, 3, 0),)</f>
        <v>0</v>
      </c>
      <c r="C198" s="108"/>
      <c r="D198" s="80">
        <f ca="1">IFERROR(
  VLOOKUP(A198, '1C'!C:K, 9, 0),)</f>
        <v>0</v>
      </c>
      <c r="E198" s="81">
        <f ca="1">IFERROR(
  VLOOKUP(A198, '1C'!C:Q, 15, 0),)</f>
        <v>0</v>
      </c>
      <c r="F198" s="82">
        <f ca="1">IFERROR(
  VLOOKUP(A198, '1C'!C:S, 17, 0),)</f>
        <v>0</v>
      </c>
      <c r="G198" s="83">
        <f ca="1">IFERROR(
  VLOOKUP(A198, '1C'!C:U, 19, 0),)</f>
        <v>0</v>
      </c>
      <c r="H198" s="81">
        <f ca="1">IFERROR(
  VLOOKUP(A198, '1C'!C:G, 5, 0),)</f>
        <v>0</v>
      </c>
      <c r="I198" s="90">
        <f ca="1">IFERROR( VLOOKUP(A198, '1C'!C:I, 7, 0),)</f>
        <v>0</v>
      </c>
      <c r="J198" s="91">
        <f ca="1">IFERROR(
  VLOOKUP(A198, '1C'!C:H, 6, 0),)</f>
        <v>0</v>
      </c>
      <c r="K198" s="86"/>
      <c r="L198" s="92"/>
    </row>
    <row r="199" spans="1:12" ht="14.4">
      <c r="A199" s="93" t="str">
        <f ca="1">IFERROR(__xludf.DUMMYFUNCTION("iferror(IFERROR(
HYPERLINK(
  VLOOKUP(
    INDEX(UNIQUE(FLATTEN({'1C'!$W$2:W200,'1C'!$C$2:C200})), ROW(A197)), 
    '1C'!C:O, 12, 0),
  INDEX(UNIQUE(FLATTEN({'1C'!$W$2:W200,'1C'!$C$2:C200})), ROW(A197))),
MATCH(INDEX(UNIQUE(FLATTEN({'1C'!$W$2:W200,'1C'!$C"&amp;"$2:C200})), ROW(A197)), L$3:L200, 0)
),)"),"")</f>
        <v/>
      </c>
      <c r="B199" s="108">
        <f ca="1">IFERROR(
  VLOOKUP(A199, '1C'!C:E, 3, 0),)</f>
        <v>0</v>
      </c>
      <c r="C199" s="108"/>
      <c r="D199" s="80">
        <f ca="1">IFERROR(
  VLOOKUP(A199, '1C'!C:K, 9, 0),)</f>
        <v>0</v>
      </c>
      <c r="E199" s="81">
        <f ca="1">IFERROR(
  VLOOKUP(A199, '1C'!C:Q, 15, 0),)</f>
        <v>0</v>
      </c>
      <c r="F199" s="82">
        <f ca="1">IFERROR(
  VLOOKUP(A199, '1C'!C:S, 17, 0),)</f>
        <v>0</v>
      </c>
      <c r="G199" s="83">
        <f ca="1">IFERROR(
  VLOOKUP(A199, '1C'!C:U, 19, 0),)</f>
        <v>0</v>
      </c>
      <c r="H199" s="81">
        <f ca="1">IFERROR(
  VLOOKUP(A199, '1C'!C:G, 5, 0),)</f>
        <v>0</v>
      </c>
      <c r="I199" s="90">
        <f ca="1">IFERROR( VLOOKUP(A199, '1C'!C:I, 7, 0),)</f>
        <v>0</v>
      </c>
      <c r="J199" s="91">
        <f ca="1">IFERROR(
  VLOOKUP(A199, '1C'!C:H, 6, 0),)</f>
        <v>0</v>
      </c>
      <c r="K199" s="86"/>
      <c r="L199" s="92"/>
    </row>
    <row r="200" spans="1:12" ht="14.4">
      <c r="A200" s="93" t="str">
        <f ca="1">IFERROR(__xludf.DUMMYFUNCTION("iferror(IFERROR(
HYPERLINK(
  VLOOKUP(
    INDEX(UNIQUE(FLATTEN({'1C'!$W$2:W200,'1C'!$C$2:C200})), ROW(A198)), 
    '1C'!C:O, 12, 0),
  INDEX(UNIQUE(FLATTEN({'1C'!$W$2:W200,'1C'!$C$2:C200})), ROW(A198))),
MATCH(INDEX(UNIQUE(FLATTEN({'1C'!$W$2:W200,'1C'!$C"&amp;"$2:C200})), ROW(A198)), L$3:L200, 0)
),)"),"")</f>
        <v/>
      </c>
      <c r="B200" s="108">
        <f ca="1">IFERROR(
  VLOOKUP(A200, '1C'!C:E, 3, 0),)</f>
        <v>0</v>
      </c>
      <c r="C200" s="108"/>
      <c r="D200" s="80">
        <f ca="1">IFERROR(
  VLOOKUP(A200, '1C'!C:K, 9, 0),)</f>
        <v>0</v>
      </c>
      <c r="E200" s="81">
        <f ca="1">IFERROR(
  VLOOKUP(A200, '1C'!C:Q, 15, 0),)</f>
        <v>0</v>
      </c>
      <c r="F200" s="82">
        <f ca="1">IFERROR(
  VLOOKUP(A200, '1C'!C:S, 17, 0),)</f>
        <v>0</v>
      </c>
      <c r="G200" s="83">
        <f ca="1">IFERROR(
  VLOOKUP(A200, '1C'!C:U, 19, 0),)</f>
        <v>0</v>
      </c>
      <c r="H200" s="81">
        <f ca="1">IFERROR(
  VLOOKUP(A200, '1C'!C:G, 5, 0),)</f>
        <v>0</v>
      </c>
      <c r="I200" s="90">
        <f ca="1">IFERROR( VLOOKUP(A200, '1C'!C:I, 7, 0),)</f>
        <v>0</v>
      </c>
      <c r="J200" s="91">
        <f ca="1">IFERROR(
  VLOOKUP(A200, '1C'!C:H, 6, 0),)</f>
        <v>0</v>
      </c>
      <c r="K200" s="86"/>
      <c r="L200" s="92"/>
    </row>
  </sheetData>
  <mergeCells count="3">
    <mergeCell ref="A1:D1"/>
    <mergeCell ref="E1:G1"/>
    <mergeCell ref="H1:J1"/>
  </mergeCells>
  <conditionalFormatting sqref="A3:J200">
    <cfRule type="expression" dxfId="3" priority="1">
      <formula>NOT(ISERROR(MATCH($A3, $L$3:L200, 0)))</formula>
    </cfRule>
  </conditionalFormatting>
  <conditionalFormatting sqref="C4:C199">
    <cfRule type="cellIs" dxfId="2" priority="2" operator="greaterThan">
      <formula>B4</formula>
    </cfRule>
  </conditionalFormatting>
  <pageMargins left="0" right="0" top="8.7604943421807385E-2" bottom="0.28626718270385698" header="0" footer="0"/>
  <pageSetup paperSize="9" fitToHeight="0" orientation="landscape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0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4140625" defaultRowHeight="15" customHeight="1"/>
  <cols>
    <col min="1" max="1" width="51.33203125" customWidth="1"/>
    <col min="2" max="3" width="19.109375" customWidth="1"/>
    <col min="4" max="4" width="90.33203125" customWidth="1"/>
    <col min="5" max="5" width="17.5546875" customWidth="1"/>
    <col min="6" max="6" width="12" customWidth="1"/>
    <col min="7" max="7" width="21.88671875" customWidth="1"/>
    <col min="8" max="8" width="13.44140625" customWidth="1"/>
    <col min="9" max="9" width="15.44140625" customWidth="1"/>
    <col min="10" max="10" width="15" customWidth="1"/>
    <col min="11" max="12" width="15" hidden="1" customWidth="1"/>
  </cols>
  <sheetData>
    <row r="1" spans="1:12" ht="24" customHeight="1">
      <c r="A1" s="116" t="str">
        <f>HYPERLINK("https://novatek-electro.com/pl/", "novatek-electro.com")</f>
        <v>novatek-electro.com</v>
      </c>
      <c r="B1" s="113"/>
      <c r="C1" s="113"/>
      <c r="D1" s="113"/>
      <c r="E1" s="114" t="str">
        <f>"+48 73 208 09 33"</f>
        <v>+48 73 208 09 33</v>
      </c>
      <c r="F1" s="113"/>
      <c r="G1" s="113"/>
      <c r="H1" s="117" t="str">
        <f>HYPERLINK("mailto:kontakt@novatek-electro.com", "kontakt@novatek-electro.com")</f>
        <v>kontakt@novatek-electro.com</v>
      </c>
      <c r="I1" s="113"/>
      <c r="J1" s="113"/>
      <c r="K1" s="68"/>
      <c r="L1" s="69"/>
    </row>
    <row r="2" spans="1:12" ht="24">
      <c r="A2" s="98" t="s">
        <v>1379</v>
      </c>
      <c r="B2" s="109" t="s">
        <v>1380</v>
      </c>
      <c r="C2" s="109" t="s">
        <v>1381</v>
      </c>
      <c r="D2" s="70" t="s">
        <v>11</v>
      </c>
      <c r="E2" s="99" t="s">
        <v>17</v>
      </c>
      <c r="F2" s="100" t="s">
        <v>1382</v>
      </c>
      <c r="G2" s="101" t="s">
        <v>21</v>
      </c>
      <c r="H2" s="99" t="s">
        <v>1383</v>
      </c>
      <c r="I2" s="102" t="s">
        <v>1384</v>
      </c>
      <c r="J2" s="103" t="s">
        <v>1385</v>
      </c>
      <c r="K2" s="104"/>
      <c r="L2" s="105"/>
    </row>
    <row r="3" spans="1:12" ht="14.4">
      <c r="A3" s="78" t="str">
        <f ca="1">IFERROR(__xludf.DUMMYFUNCTION("iferror(IFERROR(
HYPERLINK(
  VLOOKUP(
    INDEX(UNIQUE(FLATTEN({'1C'!$X$2:X200,'1C'!$C$2:C200})), ROW(A1)), 
    '1C'!C:O, 13, 0),
  INDEX(UNIQUE(FLATTEN({'1C'!$X$2:X200,'1C'!$C$2:C200})), ROW(A1))),
MATCH(INDEX(UNIQUE(FLATTEN({'1C'!$X$2:X200,'1C'!$C$2:C"&amp;"200})), ROW(A1)), L$3:L200, 0)
),)"),"Trójfazowe przekaźniki napięciowe")</f>
        <v>Trójfazowe przekaźniki napięciowe</v>
      </c>
      <c r="B3" s="110">
        <f ca="1">IFERROR(
  VLOOKUP(A3, '1C'!C:F, 4, 0),)</f>
        <v>0</v>
      </c>
      <c r="C3" s="110"/>
      <c r="D3" s="80">
        <f ca="1">IFERROR(
  VLOOKUP(A3, '1C'!C:L, 10, 0),)</f>
        <v>0</v>
      </c>
      <c r="E3" s="81">
        <f ca="1">IFERROR(
  VLOOKUP(A3, '1C'!C:R, 16, 0),)</f>
        <v>0</v>
      </c>
      <c r="F3" s="82">
        <f ca="1">IFERROR(
  VLOOKUP(A3, '1C'!C:S, 17, 0),)</f>
        <v>0</v>
      </c>
      <c r="G3" s="83">
        <f ca="1">IFERROR(
  VLOOKUP(A3, '1C'!C:V, 20, 0),)</f>
        <v>0</v>
      </c>
      <c r="H3" s="81">
        <f ca="1">IFERROR(
  VLOOKUP(A3, '1C'!C:G, 5, 0),)</f>
        <v>0</v>
      </c>
      <c r="I3" s="84">
        <f ca="1">IFERROR( VLOOKUP(A3, '1C'!C:I, 7, 0),)</f>
        <v>0</v>
      </c>
      <c r="J3" s="85">
        <f ca="1">IFERROR(
  VLOOKUP(A3, '1C'!C:H, 6, 0),)</f>
        <v>0</v>
      </c>
      <c r="K3" s="86"/>
      <c r="L3" s="107" t="str">
        <f ca="1">IFERROR(__xludf.DUMMYFUNCTION("UNIQUE('1C'!X2:X200)"),"Trójfazowe przekaźniki napięciowe")</f>
        <v>Trójfazowe przekaźniki napięciowe</v>
      </c>
    </row>
    <row r="4" spans="1:12" ht="26.4">
      <c r="A4" s="88" t="str">
        <f ca="1">IFERROR(__xludf.DUMMYFUNCTION("iferror(IFERROR(
HYPERLINK(
  VLOOKUP(
    INDEX(UNIQUE(FLATTEN({'1C'!$X$2:X200,'1C'!$C$2:C200})), ROW(A2)), 
    '1C'!C:O, 13, 0),
  INDEX(UNIQUE(FLATTEN({'1C'!$X$2:X200,'1C'!$C$2:C200})), ROW(A2))),
MATCH(INDEX(UNIQUE(FLATTEN({'1C'!$X$2:X200,'1C'!$C$2:C"&amp;"200})), ROW(A2)), L$3:L200, 0)
),)"),"RNPP-301")</f>
        <v>RNPP-301</v>
      </c>
      <c r="B4" s="111">
        <f ca="1">IFERROR(
  VLOOKUP(A4, '1C'!C:F, 4, 0),)</f>
        <v>150</v>
      </c>
      <c r="C4" s="111">
        <f ca="1">IFERROR(
  VLOOKUP(A4, '1C'!C:AA, 25, 0),)</f>
        <v>150</v>
      </c>
      <c r="D4" s="80" t="str">
        <f ca="1">IFERROR(
  VLOOKUP(A4, '1C'!C:L, 10, 0),)</f>
        <v>Sekwencje, przesunięcie i przerwanie fazy, sterowanie rozrusznikiem, oddzielne ustawienia progu napięcia i przesunięcia fazy</v>
      </c>
      <c r="E4" s="81" t="str">
        <f ca="1">IFERROR(
  VLOOKUP(A4, '1C'!C:R, 16, 0),)</f>
        <v>DIN</v>
      </c>
      <c r="F4" s="82">
        <f ca="1">IFERROR(
  VLOOKUP(A4, '1C'!C:S, 17, 0),)</f>
        <v>4</v>
      </c>
      <c r="G4" s="83" t="str">
        <f ca="1">IFERROR(
  VLOOKUP(A4, '1C'!C:V, 20, 0),)</f>
        <v>Stycznik</v>
      </c>
      <c r="H4" s="81" t="str">
        <f ca="1">IFERROR(
  VLOOKUP(A4, '1C'!C:G, 5, 0),)</f>
        <v>NTRNP3010</v>
      </c>
      <c r="I4" s="90">
        <f ca="1">IFERROR( VLOOKUP(A4, '1C'!C:I, 7, 0),)</f>
        <v>4820122950412</v>
      </c>
      <c r="J4" s="91" t="str">
        <f ca="1">IFERROR(
  VLOOKUP(A4, '1C'!C:H, 6, 0),)</f>
        <v>8536 49 00 90</v>
      </c>
      <c r="K4" s="86"/>
      <c r="L4" s="107" t="str">
        <f ca="1">IFERROR(__xludf.DUMMYFUNCTION("""COMPUTED_VALUE"""),"Zegary")</f>
        <v>Zegary</v>
      </c>
    </row>
    <row r="5" spans="1:12" ht="26.4">
      <c r="A5" s="88" t="str">
        <f ca="1">IFERROR(__xludf.DUMMYFUNCTION("iferror(IFERROR(
HYPERLINK(
  VLOOKUP(
    INDEX(UNIQUE(FLATTEN({'1C'!$X$2:X200,'1C'!$C$2:C200})), ROW(A3)), 
    '1C'!C:O, 13, 0),
  INDEX(UNIQUE(FLATTEN({'1C'!$X$2:X200,'1C'!$C$2:C200})), ROW(A3))),
MATCH(INDEX(UNIQUE(FLATTEN({'1C'!$X$2:X200,'1C'!$C$2:C"&amp;"200})), ROW(A3)), L$3:L200, 0)
),)"),"RNPP-302")</f>
        <v>RNPP-302</v>
      </c>
      <c r="B5" s="111">
        <f ca="1">IFERROR(
  VLOOKUP(A5, '1C'!C:F, 4, 0),)</f>
        <v>240</v>
      </c>
      <c r="C5" s="111">
        <f ca="1">IFERROR(
  VLOOKUP(A5, '1C'!C:AA, 25, 0),)</f>
        <v>240</v>
      </c>
      <c r="D5" s="80" t="str">
        <f ca="1">IFERROR(
  VLOOKUP(A5, '1C'!C:L, 10, 0),)</f>
        <v>Sekwencje, zniekształcenia i załamania faz, sterowanie rozrusznikiem, sygnalizacja, regulacja czasu działania wszystkich typów zabezpieczeń</v>
      </c>
      <c r="E5" s="81" t="str">
        <f ca="1">IFERROR(
  VLOOKUP(A5, '1C'!C:R, 16, 0),)</f>
        <v>DIN</v>
      </c>
      <c r="F5" s="82">
        <f ca="1">IFERROR(
  VLOOKUP(A5, '1C'!C:S, 17, 0),)</f>
        <v>4</v>
      </c>
      <c r="G5" s="83" t="str">
        <f ca="1">IFERROR(
  VLOOKUP(A5, '1C'!C:V, 20, 0),)</f>
        <v>Stycznik</v>
      </c>
      <c r="H5" s="81" t="str">
        <f ca="1">IFERROR(
  VLOOKUP(A5, '1C'!C:G, 5, 0),)</f>
        <v>NTRNP3020</v>
      </c>
      <c r="I5" s="90">
        <f ca="1">IFERROR( VLOOKUP(A5, '1C'!C:I, 7, 0),)</f>
        <v>4820122950429</v>
      </c>
      <c r="J5" s="91" t="str">
        <f ca="1">IFERROR(
  VLOOKUP(A5, '1C'!C:H, 6, 0),)</f>
        <v>8536 49 00 90</v>
      </c>
      <c r="K5" s="86"/>
      <c r="L5" s="107" t="str">
        <f ca="1">IFERROR(__xludf.DUMMYFUNCTION("""COMPUTED_VALUE"""),"Regulator czasowy")</f>
        <v>Regulator czasowy</v>
      </c>
    </row>
    <row r="6" spans="1:12" ht="26.4">
      <c r="A6" s="93" t="str">
        <f ca="1">IFERROR(__xludf.DUMMYFUNCTION("iferror(IFERROR(
HYPERLINK(
  VLOOKUP(
    INDEX(UNIQUE(FLATTEN({'1C'!$X$2:X200,'1C'!$C$2:C200})), ROW(A4)), 
    '1C'!C:O, 13, 0),
  INDEX(UNIQUE(FLATTEN({'1C'!$X$2:X200,'1C'!$C$2:C200})), ROW(A4))),
MATCH(INDEX(UNIQUE(FLATTEN({'1C'!$X$2:X200,'1C'!$C$2:C"&amp;"200})), ROW(A4)), L$3:L200, 0)
),)"),"RNPP-302М1")</f>
        <v>RNPP-302М1</v>
      </c>
      <c r="B6" s="111">
        <f ca="1">IFERROR(
  VLOOKUP(A6, '1C'!C:F, 4, 0),)</f>
        <v>240</v>
      </c>
      <c r="C6" s="111">
        <f ca="1">IFERROR(
  VLOOKUP(A6, '1C'!C:AA, 25, 0),)</f>
        <v>240</v>
      </c>
      <c r="D6" s="80" t="str">
        <f ca="1">IFERROR(
  VLOOKUP(A6, '1C'!C:L, 10, 0),)</f>
        <v>Sekwencje, zniekształcenia i załamania faz, sterowanie rozrusznikiem, sygnalizacja, regulacja czasu działania wszystkich typów zabezpieczeń</v>
      </c>
      <c r="E6" s="81" t="str">
        <f ca="1">IFERROR(
  VLOOKUP(A6, '1C'!C:R, 16, 0),)</f>
        <v>DIN</v>
      </c>
      <c r="F6" s="82">
        <f ca="1">IFERROR(
  VLOOKUP(A6, '1C'!C:S, 17, 0),)</f>
        <v>2</v>
      </c>
      <c r="G6" s="83" t="str">
        <f ca="1">IFERROR(
  VLOOKUP(A6, '1C'!C:V, 20, 0),)</f>
        <v>Stycznik</v>
      </c>
      <c r="H6" s="81" t="str">
        <f ca="1">IFERROR(
  VLOOKUP(A6, '1C'!C:G, 5, 0),)</f>
        <v>NTRNP302М</v>
      </c>
      <c r="I6" s="90">
        <f ca="1">IFERROR( VLOOKUP(A6, '1C'!C:I, 7, 0),)</f>
        <v>0</v>
      </c>
      <c r="J6" s="91" t="str">
        <f ca="1">IFERROR(
  VLOOKUP(A6, '1C'!C:H, 6, 0),)</f>
        <v>8536 49 00 90</v>
      </c>
      <c r="K6" s="86"/>
      <c r="L6" s="107" t="str">
        <f ca="1">IFERROR(__xludf.DUMMYFUNCTION("""COMPUTED_VALUE"""),"Przełączniki fazowe")</f>
        <v>Przełączniki fazowe</v>
      </c>
    </row>
    <row r="7" spans="1:12" ht="14.4">
      <c r="A7" s="88" t="str">
        <f ca="1">IFERROR(__xludf.DUMMYFUNCTION("iferror(IFERROR(
HYPERLINK(
  VLOOKUP(
    INDEX(UNIQUE(FLATTEN({'1C'!$X$2:X200,'1C'!$C$2:C200})), ROW(A5)), 
    '1C'!C:O, 13, 0),
  INDEX(UNIQUE(FLATTEN({'1C'!$X$2:X200,'1C'!$C$2:C200})), ROW(A5))),
MATCH(INDEX(UNIQUE(FLATTEN({'1C'!$X$2:X200,'1C'!$C$2:C"&amp;"200})), ROW(A5)), L$3:L200, 0)
),)"),"RNPP-311.1")</f>
        <v>RNPP-311.1</v>
      </c>
      <c r="B7" s="111">
        <f ca="1">IFERROR(
  VLOOKUP(A7, '1C'!C:F, 4, 0),)</f>
        <v>125</v>
      </c>
      <c r="C7" s="111">
        <f ca="1">IFERROR(
  VLOOKUP(A7, '1C'!C:AA, 25, 0),)</f>
        <v>125</v>
      </c>
      <c r="D7" s="80" t="str">
        <f ca="1">IFERROR(
  VLOOKUP(A7, '1C'!C:L, 10, 0),)</f>
        <v>Sekwencje, przesunięcie i przerwanie fazy, regulacja tylko % napięcia znamionowego</v>
      </c>
      <c r="E7" s="81" t="str">
        <f ca="1">IFERROR(
  VLOOKUP(A7, '1C'!C:R, 16, 0),)</f>
        <v>DIN</v>
      </c>
      <c r="F7" s="82">
        <f ca="1">IFERROR(
  VLOOKUP(A7, '1C'!C:S, 17, 0),)</f>
        <v>2</v>
      </c>
      <c r="G7" s="83" t="str">
        <f ca="1">IFERROR(
  VLOOKUP(A7, '1C'!C:V, 20, 0),)</f>
        <v>Stycznik</v>
      </c>
      <c r="H7" s="81" t="str">
        <f ca="1">IFERROR(
  VLOOKUP(A7, '1C'!C:G, 5, 0),)</f>
        <v>NTRNP3111</v>
      </c>
      <c r="I7" s="90">
        <f ca="1">IFERROR( VLOOKUP(A7, '1C'!C:I, 7, 0),)</f>
        <v>4820122950436</v>
      </c>
      <c r="J7" s="91" t="str">
        <f ca="1">IFERROR(
  VLOOKUP(A7, '1C'!C:H, 6, 0),)</f>
        <v>8536 49 00 90</v>
      </c>
      <c r="K7" s="86"/>
      <c r="L7" s="107" t="str">
        <f ca="1">IFERROR(__xludf.DUMMYFUNCTION("""COMPUTED_VALUE"""),"Bloki ochrony silników elektrycznych")</f>
        <v>Bloki ochrony silników elektrycznych</v>
      </c>
    </row>
    <row r="8" spans="1:12" ht="14.4">
      <c r="A8" s="88" t="str">
        <f ca="1">IFERROR(__xludf.DUMMYFUNCTION("iferror(IFERROR(
HYPERLINK(
  VLOOKUP(
    INDEX(UNIQUE(FLATTEN({'1C'!$X$2:X200,'1C'!$C$2:C200})), ROW(A6)), 
    '1C'!C:O, 13, 0),
  INDEX(UNIQUE(FLATTEN({'1C'!$X$2:X200,'1C'!$C$2:C200})), ROW(A6))),
MATCH(INDEX(UNIQUE(FLATTEN({'1C'!$X$2:X200,'1C'!$C$2:C"&amp;"200})), ROW(A6)), L$3:L200, 0)
),)"),"RNPP-311m")</f>
        <v>RNPP-311m</v>
      </c>
      <c r="B8" s="111">
        <f ca="1">IFERROR(
  VLOOKUP(A8, '1C'!C:F, 4, 0),)</f>
        <v>145</v>
      </c>
      <c r="C8" s="111">
        <f ca="1">IFERROR(
  VLOOKUP(A8, '1C'!C:AA, 25, 0),)</f>
        <v>145</v>
      </c>
      <c r="D8" s="80" t="str">
        <f ca="1">IFERROR(
  VLOOKUP(A8, '1C'!C:L, 10, 0),)</f>
        <v>Analog RNPP-311, regulacja czasu i pracy APV, włączanie/wyłączanie zabezpieczeń</v>
      </c>
      <c r="E8" s="81" t="str">
        <f ca="1">IFERROR(
  VLOOKUP(A8, '1C'!C:R, 16, 0),)</f>
        <v>DIN</v>
      </c>
      <c r="F8" s="82">
        <f ca="1">IFERROR(
  VLOOKUP(A8, '1C'!C:S, 17, 0),)</f>
        <v>2</v>
      </c>
      <c r="G8" s="83" t="str">
        <f ca="1">IFERROR(
  VLOOKUP(A8, '1C'!C:V, 20, 0),)</f>
        <v>Stycznik</v>
      </c>
      <c r="H8" s="81" t="str">
        <f ca="1">IFERROR(
  VLOOKUP(A8, '1C'!C:G, 5, 0),)</f>
        <v>NTRNP311M</v>
      </c>
      <c r="I8" s="90">
        <f ca="1">IFERROR( VLOOKUP(A8, '1C'!C:I, 7, 0),)</f>
        <v>4820122950443</v>
      </c>
      <c r="J8" s="91" t="str">
        <f ca="1">IFERROR(
  VLOOKUP(A8, '1C'!C:H, 6, 0),)</f>
        <v>8536 49 00 90</v>
      </c>
      <c r="K8" s="86"/>
      <c r="L8" s="107" t="str">
        <f ca="1">IFERROR(__xludf.DUMMYFUNCTION("""COMPUTED_VALUE"""),"Ograniczniki mocy")</f>
        <v>Ograniczniki mocy</v>
      </c>
    </row>
    <row r="9" spans="1:12" ht="14.4">
      <c r="A9" s="93" t="str">
        <f ca="1">IFERROR(__xludf.DUMMYFUNCTION("iferror(IFERROR(
HYPERLINK(
  VLOOKUP(
    INDEX(UNIQUE(FLATTEN({'1C'!$X$2:X200,'1C'!$C$2:C200})), ROW(A7)), 
    '1C'!C:O, 13, 0),
  INDEX(UNIQUE(FLATTEN({'1C'!$X$2:X200,'1C'!$C$2:C200})), ROW(A7))),
MATCH(INDEX(UNIQUE(FLATTEN({'1C'!$X$2:X200,'1C'!$C$2:C"&amp;"200})), ROW(A7)), L$3:L200, 0)
),)"),"RNPP-311m (24V)")</f>
        <v>RNPP-311m (24V)</v>
      </c>
      <c r="B9" s="111">
        <f ca="1">IFERROR(
  VLOOKUP(A9, '1C'!C:F, 4, 0),)</f>
        <v>145</v>
      </c>
      <c r="C9" s="111">
        <f ca="1">IFERROR(
  VLOOKUP(A9, '1C'!C:AA, 25, 0),)</f>
        <v>145</v>
      </c>
      <c r="D9" s="80" t="str">
        <f ca="1">IFERROR(
  VLOOKUP(A9, '1C'!C:L, 10, 0),)</f>
        <v>Analog RNPP-311, regulacja czasu APV i pracy, załączanie/wyłączanie zabezpieczeń, 24V DC</v>
      </c>
      <c r="E9" s="81" t="str">
        <f ca="1">IFERROR(
  VLOOKUP(A9, '1C'!C:R, 16, 0),)</f>
        <v>DIN</v>
      </c>
      <c r="F9" s="82">
        <f ca="1">IFERROR(
  VLOOKUP(A9, '1C'!C:S, 17, 0),)</f>
        <v>2</v>
      </c>
      <c r="G9" s="83" t="str">
        <f ca="1">IFERROR(
  VLOOKUP(A9, '1C'!C:V, 20, 0),)</f>
        <v>Stycznik</v>
      </c>
      <c r="H9" s="81" t="str">
        <f ca="1">IFERROR(
  VLOOKUP(A9, '1C'!C:G, 5, 0),)</f>
        <v>NTRNP311D</v>
      </c>
      <c r="I9" s="90">
        <f ca="1">IFERROR( VLOOKUP(A9, '1C'!C:I, 7, 0),)</f>
        <v>0</v>
      </c>
      <c r="J9" s="91" t="str">
        <f ca="1">IFERROR(
  VLOOKUP(A9, '1C'!C:H, 6, 0),)</f>
        <v>8536 49 00 90</v>
      </c>
      <c r="K9" s="86"/>
      <c r="L9" s="107" t="str">
        <f ca="1">IFERROR(__xludf.DUMMYFUNCTION("""COMPUTED_VALUE"""),"Ograniczniki prądu")</f>
        <v>Ograniczniki prądu</v>
      </c>
    </row>
    <row r="10" spans="1:12" ht="14.4">
      <c r="A10" s="88" t="str">
        <f ca="1">IFERROR(__xludf.DUMMYFUNCTION("iferror(IFERROR(
HYPERLINK(
  VLOOKUP(
    INDEX(UNIQUE(FLATTEN({'1C'!$X$2:X200,'1C'!$C$2:C200})), ROW(A8)), 
    '1C'!C:O, 13, 0),
  INDEX(UNIQUE(FLATTEN({'1C'!$X$2:X200,'1C'!$C$2:C200})), ROW(A8))),
MATCH(INDEX(UNIQUE(FLATTEN({'1C'!$X$2:X200,'1C'!$C$2:C"&amp;"200})), ROW(A8)), L$3:L200, 0)
),)"),"RNPP-312")</f>
        <v>RNPP-312</v>
      </c>
      <c r="B10" s="111">
        <f ca="1">IFERROR(
  VLOOKUP(A10, '1C'!C:F, 4, 0),)</f>
        <v>160</v>
      </c>
      <c r="C10" s="111">
        <f ca="1">IFERROR(
  VLOOKUP(A10, '1C'!C:AA, 25, 0),)</f>
        <v>160</v>
      </c>
      <c r="D10" s="80" t="str">
        <f ca="1">IFERROR(
  VLOOKUP(A10, '1C'!C:L, 10, 0),)</f>
        <v>Sekwencje, skos i załamanie fazy, jednomodułowy analogowy RNPP-311M</v>
      </c>
      <c r="E10" s="81" t="str">
        <f ca="1">IFERROR(
  VLOOKUP(A10, '1C'!C:R, 16, 0),)</f>
        <v>DIN</v>
      </c>
      <c r="F10" s="82">
        <f ca="1">IFERROR(
  VLOOKUP(A10, '1C'!C:S, 17, 0),)</f>
        <v>1</v>
      </c>
      <c r="G10" s="83" t="str">
        <f ca="1">IFERROR(
  VLOOKUP(A10, '1C'!C:V, 20, 0),)</f>
        <v>Stycznik</v>
      </c>
      <c r="H10" s="81" t="str">
        <f ca="1">IFERROR(
  VLOOKUP(A10, '1C'!C:G, 5, 0),)</f>
        <v>NTRNP3120</v>
      </c>
      <c r="I10" s="90">
        <f ca="1">IFERROR( VLOOKUP(A10, '1C'!C:I, 7, 0),)</f>
        <v>4820122950450</v>
      </c>
      <c r="J10" s="91" t="str">
        <f ca="1">IFERROR(
  VLOOKUP(A10, '1C'!C:H, 6, 0),)</f>
        <v>8536 49 00 90</v>
      </c>
      <c r="K10" s="86"/>
      <c r="L10" s="107" t="str">
        <f ca="1">IFERROR(__xludf.DUMMYFUNCTION("""COMPUTED_VALUE"""),"Regulatory temperatury")</f>
        <v>Regulatory temperatury</v>
      </c>
    </row>
    <row r="11" spans="1:12" ht="14.4">
      <c r="A11" s="93" t="str">
        <f ca="1">IFERROR(__xludf.DUMMYFUNCTION("iferror(IFERROR(
HYPERLINK(
  VLOOKUP(
    INDEX(UNIQUE(FLATTEN({'1C'!$X$2:X200,'1C'!$C$2:C200})), ROW(A9)), 
    '1C'!C:O, 13, 0),
  INDEX(UNIQUE(FLATTEN({'1C'!$X$2:X200,'1C'!$C$2:C200})), ROW(A9))),
MATCH(INDEX(UNIQUE(FLATTEN({'1C'!$X$2:X200,'1C'!$C$2:C"&amp;"200})), ROW(A9)), L$3:L200, 0)
),)"),"RNPP-313")</f>
        <v>RNPP-313</v>
      </c>
      <c r="B11" s="111">
        <f ca="1">IFERROR(
  VLOOKUP(A11, '1C'!C:F, 4, 0),)</f>
        <v>105</v>
      </c>
      <c r="C11" s="111">
        <f ca="1">IFERROR(
  VLOOKUP(A11, '1C'!C:AA, 25, 0),)</f>
        <v>105</v>
      </c>
      <c r="D11" s="80" t="str">
        <f ca="1">IFERROR(
  VLOOKUP(A11, '1C'!C:L, 10, 0),)</f>
        <v>Załamanie kolejności, skosu i fazy, pojedynczy moduł, pojedyncza regulacja Toff, szyte ustawienia</v>
      </c>
      <c r="E11" s="81" t="str">
        <f ca="1">IFERROR(
  VLOOKUP(A11, '1C'!C:R, 16, 0),)</f>
        <v>DIN</v>
      </c>
      <c r="F11" s="82">
        <f ca="1">IFERROR(
  VLOOKUP(A11, '1C'!C:S, 17, 0),)</f>
        <v>1</v>
      </c>
      <c r="G11" s="83" t="str">
        <f ca="1">IFERROR(
  VLOOKUP(A11, '1C'!C:V, 20, 0),)</f>
        <v>Stycznik</v>
      </c>
      <c r="H11" s="81" t="str">
        <f ca="1">IFERROR(
  VLOOKUP(A11, '1C'!C:G, 5, 0),)</f>
        <v>NTRNP3130</v>
      </c>
      <c r="I11" s="90">
        <f ca="1">IFERROR( VLOOKUP(A11, '1C'!C:I, 7, 0),)</f>
        <v>0</v>
      </c>
      <c r="J11" s="91" t="str">
        <f ca="1">IFERROR(
  VLOOKUP(A11, '1C'!C:H, 6, 0),)</f>
        <v>8536 49 00 90</v>
      </c>
      <c r="K11" s="86"/>
      <c r="L11" s="107" t="str">
        <f ca="1">IFERROR(__xludf.DUMMYFUNCTION("""COMPUTED_VALUE"""),"Sterowniki stacji pomp / przełączników ciśnieniowych")</f>
        <v>Sterowniki stacji pomp / przełączników ciśnieniowych</v>
      </c>
    </row>
    <row r="12" spans="1:12" ht="14.4">
      <c r="A12" s="93" t="str">
        <f ca="1">IFERROR(__xludf.DUMMYFUNCTION("iferror(IFERROR(
HYPERLINK(
  VLOOKUP(
    INDEX(UNIQUE(FLATTEN({'1C'!$X$2:X200,'1C'!$C$2:C200})), ROW(A10)), 
    '1C'!C:O, 13, 0),
  INDEX(UNIQUE(FLATTEN({'1C'!$X$2:X200,'1C'!$C$2:C200})), ROW(A10))),
MATCH(INDEX(UNIQUE(FLATTEN({'1C'!$X$2:X200,'1C'!$C$2"&amp;":C200})), ROW(A10)), L$3:L200, 0)
),)"),"RNPP-314")</f>
        <v>RNPP-314</v>
      </c>
      <c r="B12" s="111">
        <f ca="1">IFERROR(
  VLOOKUP(A12, '1C'!C:F, 4, 0),)</f>
        <v>235</v>
      </c>
      <c r="C12" s="111">
        <f ca="1">IFERROR(
  VLOOKUP(A12, '1C'!C:AA, 25, 0),)</f>
        <v>235</v>
      </c>
      <c r="D12" s="80" t="str">
        <f ca="1">IFERROR(
  VLOOKUP(A12, '1C'!C:L, 10, 0),)</f>
        <v>Sekwencje, skos i załamanie fazy, wbudowane ustawienia</v>
      </c>
      <c r="E12" s="81" t="str">
        <f ca="1">IFERROR(
  VLOOKUP(A12, '1C'!C:R, 16, 0),)</f>
        <v>DIN</v>
      </c>
      <c r="F12" s="82">
        <f ca="1">IFERROR(
  VLOOKUP(A12, '1C'!C:S, 17, 0),)</f>
        <v>1</v>
      </c>
      <c r="G12" s="83" t="str">
        <f ca="1">IFERROR(
  VLOOKUP(A12, '1C'!C:V, 20, 0),)</f>
        <v>Stycznik</v>
      </c>
      <c r="H12" s="81" t="str">
        <f ca="1">IFERROR(
  VLOOKUP(A12, '1C'!C:G, 5, 0),)</f>
        <v>NTRNP3140</v>
      </c>
      <c r="I12" s="90">
        <f ca="1">IFERROR( VLOOKUP(A12, '1C'!C:I, 7, 0),)</f>
        <v>0</v>
      </c>
      <c r="J12" s="91" t="str">
        <f ca="1">IFERROR(
  VLOOKUP(A12, '1C'!C:H, 6, 0),)</f>
        <v>8536 49 00 90</v>
      </c>
      <c r="K12" s="86"/>
      <c r="L12" s="107" t="str">
        <f ca="1">IFERROR(__xludf.DUMMYFUNCTION("""COMPUTED_VALUE"""),"Rejestrator parametrów elektrycznych")</f>
        <v>Rejestrator parametrów elektrycznych</v>
      </c>
    </row>
    <row r="13" spans="1:12" ht="14.4">
      <c r="A13" s="88" t="str">
        <f ca="1">IFERROR(__xludf.DUMMYFUNCTION("iferror(IFERROR(
HYPERLINK(
  VLOOKUP(
    INDEX(UNIQUE(FLATTEN({'1C'!$X$2:X200,'1C'!$C$2:C200})), ROW(A11)), 
    '1C'!C:O, 13, 0),
  INDEX(UNIQUE(FLATTEN({'1C'!$X$2:X200,'1C'!$C$2:C200})), ROW(A11))),
MATCH(INDEX(UNIQUE(FLATTEN({'1C'!$X$2:X200,'1C'!$C$2"&amp;":C200})), ROW(A11)), L$3:L200, 0)
),)"),"RNPP-316-500")</f>
        <v>RNPP-316-500</v>
      </c>
      <c r="B13" s="111">
        <f ca="1">IFERROR(
  VLOOKUP(A13, '1C'!C:F, 4, 0),)</f>
        <v>165</v>
      </c>
      <c r="C13" s="111">
        <f ca="1">IFERROR(
  VLOOKUP(A13, '1C'!C:AA, 25, 0),)</f>
        <v>170</v>
      </c>
      <c r="D13" s="80" t="str">
        <f ca="1">IFERROR(
  VLOOKUP(A13, '1C'!C:L, 10, 0),)</f>
        <v>Sekwencje, skos i załamanie fazy, oddzielne sterowanie Umin i Umax, analogowe RNPP-311M</v>
      </c>
      <c r="E13" s="81" t="str">
        <f ca="1">IFERROR(
  VLOOKUP(A13, '1C'!C:R, 16, 0),)</f>
        <v>DIN</v>
      </c>
      <c r="F13" s="82">
        <f ca="1">IFERROR(
  VLOOKUP(A13, '1C'!C:S, 17, 0),)</f>
        <v>2</v>
      </c>
      <c r="G13" s="83" t="str">
        <f ca="1">IFERROR(
  VLOOKUP(A13, '1C'!C:V, 20, 0),)</f>
        <v>Stycznik</v>
      </c>
      <c r="H13" s="81" t="str">
        <f ca="1">IFERROR(
  VLOOKUP(A13, '1C'!C:G, 5, 0),)</f>
        <v>NTRNP3160</v>
      </c>
      <c r="I13" s="90">
        <f ca="1">IFERROR( VLOOKUP(A13, '1C'!C:I, 7, 0),)</f>
        <v>0</v>
      </c>
      <c r="J13" s="91" t="str">
        <f ca="1">IFERROR(
  VLOOKUP(A13, '1C'!C:H, 6, 0),)</f>
        <v>8536 49 00 90</v>
      </c>
      <c r="K13" s="86"/>
      <c r="L13" s="107" t="str">
        <f ca="1">IFERROR(__xludf.DUMMYFUNCTION("""COMPUTED_VALUE"""),"Kompensator mocy biernej")</f>
        <v>Kompensator mocy biernej</v>
      </c>
    </row>
    <row r="14" spans="1:12" ht="14.4">
      <c r="A14" s="88" t="str">
        <f ca="1">IFERROR(__xludf.DUMMYFUNCTION("iferror(IFERROR(
HYPERLINK(
  VLOOKUP(
    INDEX(UNIQUE(FLATTEN({'1C'!$X$2:X200,'1C'!$C$2:C200})), ROW(A12)), 
    '1C'!C:O, 13, 0),
  INDEX(UNIQUE(FLATTEN({'1C'!$X$2:X200,'1C'!$C$2:C200})), ROW(A12))),
MATCH(INDEX(UNIQUE(FLATTEN({'1C'!$X$2:X200,'1C'!$C$2"&amp;":C200})), ROW(A12)), L$3:L200, 0)
),)"),"RN-12")</f>
        <v>RN-12</v>
      </c>
      <c r="B14" s="111">
        <f ca="1">IFERROR(
  VLOOKUP(A14, '1C'!C:F, 4, 0),)</f>
        <v>35</v>
      </c>
      <c r="C14" s="111">
        <f ca="1">IFERROR(
  VLOOKUP(A14, '1C'!C:AA, 25, 0),)</f>
        <v>35</v>
      </c>
      <c r="D14" s="80" t="str">
        <f ca="1">IFERROR(
  VLOOKUP(A14, '1C'!C:L, 10, 0),)</f>
        <v>Wskaźnik fazy</v>
      </c>
      <c r="E14" s="81" t="str">
        <f ca="1">IFERROR(
  VLOOKUP(A14, '1C'!C:R, 16, 0),)</f>
        <v>DIN</v>
      </c>
      <c r="F14" s="82">
        <f ca="1">IFERROR(
  VLOOKUP(A14, '1C'!C:S, 17, 0),)</f>
        <v>1</v>
      </c>
      <c r="G14" s="83" t="str">
        <f ca="1">IFERROR(
  VLOOKUP(A14, '1C'!C:V, 20, 0),)</f>
        <v>-</v>
      </c>
      <c r="H14" s="81" t="str">
        <f ca="1">IFERROR(
  VLOOKUP(A14, '1C'!C:G, 5, 0),)</f>
        <v>NTRN12000</v>
      </c>
      <c r="I14" s="90">
        <f ca="1">IFERROR( VLOOKUP(A14, '1C'!C:I, 7, 0),)</f>
        <v>0</v>
      </c>
      <c r="J14" s="91" t="str">
        <f ca="1">IFERROR(
  VLOOKUP(A14, '1C'!C:H, 6, 0),)</f>
        <v>8536 49 00 90</v>
      </c>
      <c r="K14" s="86"/>
      <c r="L14" s="107" t="str">
        <f ca="1">IFERROR(__xludf.DUMMYFUNCTION("""COMPUTED_VALUE"""),"Urządzenie do kontroli wstępnej rezystancji izolacji")</f>
        <v>Urządzenie do kontroli wstępnej rezystancji izolacji</v>
      </c>
    </row>
    <row r="15" spans="1:12" ht="14.4">
      <c r="A15" s="88" t="str">
        <f ca="1">IFERROR(__xludf.DUMMYFUNCTION("iferror(IFERROR(
HYPERLINK(
  VLOOKUP(
    INDEX(UNIQUE(FLATTEN({'1C'!$X$2:X200,'1C'!$C$2:C200})), ROW(A13)), 
    '1C'!C:O, 13, 0),
  INDEX(UNIQUE(FLATTEN({'1C'!$X$2:X200,'1C'!$C$2:C200})), ROW(A13))),
MATCH(INDEX(UNIQUE(FLATTEN({'1C'!$X$2:X200,'1C'!$C$2"&amp;":C200})), ROW(A13)), L$3:L200, 0)
),)"),"RN-35")</f>
        <v>RN-35</v>
      </c>
      <c r="B15" s="111">
        <f ca="1">IFERROR(
  VLOOKUP(A15, '1C'!C:F, 4, 0),)</f>
        <v>92.5</v>
      </c>
      <c r="C15" s="111">
        <f ca="1">IFERROR(
  VLOOKUP(A15, '1C'!C:AA, 25, 0),)</f>
        <v>92.5</v>
      </c>
      <c r="D15" s="80" t="str">
        <f ca="1">IFERROR(
  VLOOKUP(A15, '1C'!C:L, 10, 0),)</f>
        <v>Сzujnik kolejności faz</v>
      </c>
      <c r="E15" s="81" t="str">
        <f ca="1">IFERROR(
  VLOOKUP(A15, '1C'!C:R, 16, 0),)</f>
        <v>DIN</v>
      </c>
      <c r="F15" s="82">
        <f ca="1">IFERROR(
  VLOOKUP(A15, '1C'!C:S, 17, 0),)</f>
        <v>1</v>
      </c>
      <c r="G15" s="83" t="str">
        <f ca="1">IFERROR(
  VLOOKUP(A15, '1C'!C:V, 20, 0),)</f>
        <v>10А</v>
      </c>
      <c r="H15" s="81" t="str">
        <f ca="1">IFERROR(
  VLOOKUP(A15, '1C'!C:G, 5, 0),)</f>
        <v>-</v>
      </c>
      <c r="I15" s="90">
        <f ca="1">IFERROR( VLOOKUP(A15, '1C'!C:I, 7, 0),)</f>
        <v>0</v>
      </c>
      <c r="J15" s="91" t="str">
        <f ca="1">IFERROR(
  VLOOKUP(A15, '1C'!C:H, 6, 0),)</f>
        <v>-</v>
      </c>
      <c r="K15" s="86"/>
      <c r="L15" s="107" t="str">
        <f ca="1">IFERROR(__xludf.DUMMYFUNCTION("""COMPUTED_VALUE"""),"Czujniki temperatury")</f>
        <v>Czujniki temperatury</v>
      </c>
    </row>
    <row r="16" spans="1:12" ht="14.4">
      <c r="A16" s="93" t="str">
        <f ca="1">IFERROR(__xludf.DUMMYFUNCTION("iferror(IFERROR(
HYPERLINK(
  VLOOKUP(
    INDEX(UNIQUE(FLATTEN({'1C'!$X$2:X200,'1C'!$C$2:C200})), ROW(A14)), 
    '1C'!C:O, 13, 0),
  INDEX(UNIQUE(FLATTEN({'1C'!$X$2:X200,'1C'!$C$2:C200})), ROW(A14))),
MATCH(INDEX(UNIQUE(FLATTEN({'1C'!$X$2:X200,'1C'!$C$2"&amp;":C200})), ROW(A14)), L$3:L200, 0)
),)"),"Zegary")</f>
        <v>Zegary</v>
      </c>
      <c r="B16" s="111">
        <f ca="1">IFERROR(
  VLOOKUP(A16, '1C'!C:F, 4, 0),)</f>
        <v>0</v>
      </c>
      <c r="C16" s="111">
        <f ca="1">IFERROR(
  VLOOKUP(A16, '1C'!C:AA, 25, 0),)</f>
        <v>0</v>
      </c>
      <c r="D16" s="80">
        <f ca="1">IFERROR(
  VLOOKUP(A16, '1C'!C:L, 10, 0),)</f>
        <v>0</v>
      </c>
      <c r="E16" s="81">
        <f ca="1">IFERROR(
  VLOOKUP(A16, '1C'!C:R, 16, 0),)</f>
        <v>0</v>
      </c>
      <c r="F16" s="82">
        <f ca="1">IFERROR(
  VLOOKUP(A16, '1C'!C:S, 17, 0),)</f>
        <v>0</v>
      </c>
      <c r="G16" s="83">
        <f ca="1">IFERROR(
  VLOOKUP(A16, '1C'!C:V, 20, 0),)</f>
        <v>0</v>
      </c>
      <c r="H16" s="81">
        <f ca="1">IFERROR(
  VLOOKUP(A16, '1C'!C:G, 5, 0),)</f>
        <v>0</v>
      </c>
      <c r="I16" s="90">
        <f ca="1">IFERROR( VLOOKUP(A16, '1C'!C:I, 7, 0),)</f>
        <v>0</v>
      </c>
      <c r="J16" s="91">
        <f ca="1">IFERROR(
  VLOOKUP(A16, '1C'!C:H, 6, 0),)</f>
        <v>0</v>
      </c>
      <c r="K16" s="86"/>
      <c r="L16" s="107" t="str">
        <f ca="1">IFERROR(__xludf.DUMMYFUNCTION("""COMPUTED_VALUE"""),"Wyłącznik zmierzchowy")</f>
        <v>Wyłącznik zmierzchowy</v>
      </c>
    </row>
    <row r="17" spans="1:12" ht="14.4">
      <c r="A17" s="88" t="str">
        <f ca="1">IFERROR(__xludf.DUMMYFUNCTION("iferror(IFERROR(
HYPERLINK(
  VLOOKUP(
    INDEX(UNIQUE(FLATTEN({'1C'!$X$2:X200,'1C'!$C$2:C200})), ROW(A15)), 
    '1C'!C:O, 13, 0),
  INDEX(UNIQUE(FLATTEN({'1C'!$X$2:X200,'1C'!$C$2:C200})), ROW(A15))),
MATCH(INDEX(UNIQUE(FLATTEN({'1C'!$X$2:X200,'1C'!$C$2"&amp;":C200})), ROW(A15)), L$3:L200, 0)
),)"),"REV-225")</f>
        <v>REV-225</v>
      </c>
      <c r="B17" s="111">
        <f ca="1">IFERROR(
  VLOOKUP(A17, '1C'!C:F, 4, 0),)</f>
        <v>210</v>
      </c>
      <c r="C17" s="111">
        <f ca="1">IFERROR(
  VLOOKUP(A17, '1C'!C:AA, 25, 0),)</f>
        <v>285</v>
      </c>
      <c r="D17" s="80" t="str">
        <f ca="1">IFERROR(
  VLOOKUP(A17, '1C'!C:L, 10, 0),)</f>
        <v>Zegar astronomiczny pojedynczy kanał</v>
      </c>
      <c r="E17" s="81" t="str">
        <f ca="1">IFERROR(
  VLOOKUP(A17, '1C'!C:R, 16, 0),)</f>
        <v>DIN</v>
      </c>
      <c r="F17" s="82">
        <f ca="1">IFERROR(
  VLOOKUP(A17, '1C'!C:S, 17, 0),)</f>
        <v>2</v>
      </c>
      <c r="G17" s="83" t="str">
        <f ca="1">IFERROR(
  VLOOKUP(A17, '1C'!C:V, 20, 0),)</f>
        <v>16А</v>
      </c>
      <c r="H17" s="81" t="str">
        <f ca="1">IFERROR(
  VLOOKUP(A17, '1C'!C:G, 5, 0),)</f>
        <v>NTRV22500</v>
      </c>
      <c r="I17" s="90">
        <f ca="1">IFERROR( VLOOKUP(A17, '1C'!C:I, 7, 0),)</f>
        <v>4820122950467</v>
      </c>
      <c r="J17" s="91" t="str">
        <f ca="1">IFERROR(
  VLOOKUP(A17, '1C'!C:H, 6, 0),)</f>
        <v>8536 49 00 90</v>
      </c>
      <c r="K17" s="86"/>
      <c r="L17" s="107" t="str">
        <f ca="1">IFERROR(__xludf.DUMMYFUNCTION("""COMPUTED_VALUE"""),"Moduły we/wy")</f>
        <v>Moduły we/wy</v>
      </c>
    </row>
    <row r="18" spans="1:12" ht="14.4">
      <c r="A18" s="88" t="str">
        <f ca="1">IFERROR(__xludf.DUMMYFUNCTION("iferror(IFERROR(
HYPERLINK(
  VLOOKUP(
    INDEX(UNIQUE(FLATTEN({'1C'!$X$2:X200,'1C'!$C$2:C200})), ROW(A16)), 
    '1C'!C:O, 13, 0),
  INDEX(UNIQUE(FLATTEN({'1C'!$X$2:X200,'1C'!$C$2:C200})), ROW(A16))),
MATCH(INDEX(UNIQUE(FLATTEN({'1C'!$X$2:X200,'1C'!$C$2"&amp;":C200})), ROW(A16)), L$3:L200, 0)
),)"),"RN-16tm")</f>
        <v>RN-16tm</v>
      </c>
      <c r="B18" s="111" t="str">
        <f ca="1">IFERROR(
  VLOOKUP(A18, '1C'!C:F, 4, 0),)</f>
        <v>wycofane z produkcji</v>
      </c>
      <c r="C18" s="111" t="str">
        <f ca="1">IFERROR(
  VLOOKUP(A18, '1C'!C:AA, 25, 0),)</f>
        <v>wycofane z produkcji</v>
      </c>
      <c r="D18" s="80" t="str">
        <f ca="1">IFERROR(
  VLOOKUP(A18, '1C'!C:L, 10, 0),)</f>
        <v>Zegar dzienny + przekaźnik napięciowy + wbudowany fotoprzekaźnik</v>
      </c>
      <c r="E18" s="81" t="str">
        <f ca="1">IFERROR(
  VLOOKUP(A18, '1C'!C:R, 16, 0),)</f>
        <v>DIN</v>
      </c>
      <c r="F18" s="82">
        <f ca="1">IFERROR(
  VLOOKUP(A18, '1C'!C:S, 17, 0),)</f>
        <v>3</v>
      </c>
      <c r="G18" s="83" t="str">
        <f ca="1">IFERROR(
  VLOOKUP(A18, '1C'!C:V, 20, 0),)</f>
        <v>16А</v>
      </c>
      <c r="H18" s="81" t="str">
        <f ca="1">IFERROR(
  VLOOKUP(A18, '1C'!C:G, 5, 0),)</f>
        <v>NTRV16TM0</v>
      </c>
      <c r="I18" s="90">
        <f ca="1">IFERROR( VLOOKUP(A18, '1C'!C:I, 7, 0),)</f>
        <v>0</v>
      </c>
      <c r="J18" s="91" t="str">
        <f ca="1">IFERROR(
  VLOOKUP(A18, '1C'!C:H, 6, 0),)</f>
        <v>8536 49 00 90</v>
      </c>
      <c r="K18" s="86"/>
      <c r="L18" s="107" t="str">
        <f ca="1">IFERROR(__xludf.DUMMYFUNCTION("""COMPUTED_VALUE"""),"Kontrolery dostępu ModBus WEB")</f>
        <v>Kontrolery dostępu ModBus WEB</v>
      </c>
    </row>
    <row r="19" spans="1:12" ht="26.4">
      <c r="A19" s="88" t="str">
        <f ca="1">IFERROR(__xludf.DUMMYFUNCTION("iferror(IFERROR(
HYPERLINK(
  VLOOKUP(
    INDEX(UNIQUE(FLATTEN({'1C'!$X$2:X200,'1C'!$C$2:C200})), ROW(A17)), 
    '1C'!C:O, 13, 0),
  INDEX(UNIQUE(FLATTEN({'1C'!$X$2:X200,'1C'!$C$2:C200})), ROW(A17))),
MATCH(INDEX(UNIQUE(FLATTEN({'1C'!$X$2:X200,'1C'!$C$2"&amp;":C200})), ROW(A17)), L$3:L200, 0)
),)"),"REV-302")</f>
        <v>REV-302</v>
      </c>
      <c r="B19" s="111">
        <f ca="1">IFERROR(
  VLOOKUP(A19, '1C'!C:F, 4, 0),)</f>
        <v>335</v>
      </c>
      <c r="C19" s="111">
        <f ca="1">IFERROR(
  VLOOKUP(A19, '1C'!C:AA, 25, 0),)</f>
        <v>385</v>
      </c>
      <c r="D19" s="80" t="str">
        <f ca="1">IFERROR(
  VLOOKUP(A19, '1C'!C:L, 10, 0),)</f>
        <v>Zegar roczny, miesięczny, tygodniowy, dzienny + przekaźnik napięciowy, zdalny fotoprzekaźnik, 2 kanały, ustawienia PC i Android</v>
      </c>
      <c r="E19" s="81" t="str">
        <f ca="1">IFERROR(
  VLOOKUP(A19, '1C'!C:R, 16, 0),)</f>
        <v>DIN</v>
      </c>
      <c r="F19" s="82">
        <f ca="1">IFERROR(
  VLOOKUP(A19, '1C'!C:S, 17, 0),)</f>
        <v>3</v>
      </c>
      <c r="G19" s="83" t="str">
        <f ca="1">IFERROR(
  VLOOKUP(A19, '1C'!C:V, 20, 0),)</f>
        <v>16А</v>
      </c>
      <c r="H19" s="81" t="str">
        <f ca="1">IFERROR(
  VLOOKUP(A19, '1C'!C:G, 5, 0),)</f>
        <v>NTRV30200</v>
      </c>
      <c r="I19" s="90">
        <f ca="1">IFERROR( VLOOKUP(A19, '1C'!C:I, 7, 0),)</f>
        <v>4820122950474</v>
      </c>
      <c r="J19" s="91" t="str">
        <f ca="1">IFERROR(
  VLOOKUP(A19, '1C'!C:H, 6, 0),)</f>
        <v>8536 49 00 90</v>
      </c>
      <c r="K19" s="86"/>
      <c r="L19" s="107"/>
    </row>
    <row r="20" spans="1:12" ht="14.4">
      <c r="A20" s="88" t="str">
        <f ca="1">IFERROR(__xludf.DUMMYFUNCTION("iferror(IFERROR(
HYPERLINK(
  VLOOKUP(
    INDEX(UNIQUE(FLATTEN({'1C'!$X$2:X200,'1C'!$C$2:C200})), ROW(A18)), 
    '1C'!C:O, 13, 0),
  INDEX(UNIQUE(FLATTEN({'1C'!$X$2:X200,'1C'!$C$2:C200})), ROW(A18))),
MATCH(INDEX(UNIQUE(FLATTEN({'1C'!$X$2:X200,'1C'!$C$2"&amp;":C200})), ROW(A18)), L$3:L200, 0)
),)"),"REV-303")</f>
        <v>REV-303</v>
      </c>
      <c r="B20" s="111">
        <f ca="1">IFERROR(
  VLOOKUP(A20, '1C'!C:F, 4, 0),)</f>
        <v>220</v>
      </c>
      <c r="C20" s="111">
        <f ca="1">IFERROR(
  VLOOKUP(A20, '1C'!C:AA, 25, 0),)</f>
        <v>255</v>
      </c>
      <c r="D20" s="80" t="str">
        <f ca="1">IFERROR(
  VLOOKUP(A20, '1C'!C:L, 10, 0),)</f>
        <v>Codzienny, tygodniowy, astronomiczny zegar jednokanałowy</v>
      </c>
      <c r="E20" s="81" t="str">
        <f ca="1">IFERROR(
  VLOOKUP(A20, '1C'!C:R, 16, 0),)</f>
        <v>DIN</v>
      </c>
      <c r="F20" s="82">
        <f ca="1">IFERROR(
  VLOOKUP(A20, '1C'!C:S, 17, 0),)</f>
        <v>2</v>
      </c>
      <c r="G20" s="83" t="str">
        <f ca="1">IFERROR(
  VLOOKUP(A20, '1C'!C:V, 20, 0),)</f>
        <v>16А</v>
      </c>
      <c r="H20" s="81" t="str">
        <f ca="1">IFERROR(
  VLOOKUP(A20, '1C'!C:G, 5, 0),)</f>
        <v>NTRV30300</v>
      </c>
      <c r="I20" s="90">
        <f ca="1">IFERROR( VLOOKUP(A20, '1C'!C:I, 7, 0),)</f>
        <v>4820122950542</v>
      </c>
      <c r="J20" s="91" t="str">
        <f ca="1">IFERROR(
  VLOOKUP(A20, '1C'!C:H, 6, 0),)</f>
        <v>8536 49 00 90</v>
      </c>
      <c r="K20" s="86"/>
      <c r="L20" s="107" t="str">
        <f ca="1">IFERROR(__xludf.DUMMYFUNCTION("""COMPUTED_VALUE"""),"Blok automatycznego wprowadzania rezerwy")</f>
        <v>Blok automatycznego wprowadzania rezerwy</v>
      </c>
    </row>
    <row r="21" spans="1:12" ht="14.4">
      <c r="A21" s="88" t="str">
        <f ca="1">IFERROR(__xludf.DUMMYFUNCTION("iferror(IFERROR(
HYPERLINK(
  VLOOKUP(
    INDEX(UNIQUE(FLATTEN({'1C'!$X$2:X200,'1C'!$C$2:C200})), ROW(A19)), 
    '1C'!C:O, 13, 0),
  INDEX(UNIQUE(FLATTEN({'1C'!$X$2:X200,'1C'!$C$2:C200})), ROW(A19))),
MATCH(INDEX(UNIQUE(FLATTEN({'1C'!$X$2:X200,'1C'!$C$2"&amp;":C200})), ROW(A19)), L$3:L200, 0)
),)"),"EM-130")</f>
        <v>EM-130</v>
      </c>
      <c r="B21" s="111">
        <f ca="1">IFERROR(
  VLOOKUP(A21, '1C'!C:F, 4, 0),)</f>
        <v>215</v>
      </c>
      <c r="C21" s="111">
        <f ca="1">IFERROR(
  VLOOKUP(A21, '1C'!C:AA, 25, 0),)</f>
        <v>250</v>
      </c>
      <c r="D21" s="80" t="str">
        <f ca="1">IFERROR(
  VLOOKUP(A21, '1C'!C:L, 10, 0),)</f>
        <v>Timer Wi-Fi tygodniowy i astronomiczny, zdalne sterowanie + ModBus</v>
      </c>
      <c r="E21" s="81" t="str">
        <f ca="1">IFERROR(
  VLOOKUP(A21, '1C'!C:R, 16, 0),)</f>
        <v>DIN</v>
      </c>
      <c r="F21" s="82">
        <f ca="1">IFERROR(
  VLOOKUP(A21, '1C'!C:S, 17, 0),)</f>
        <v>1</v>
      </c>
      <c r="G21" s="83" t="str">
        <f ca="1">IFERROR(
  VLOOKUP(A21, '1C'!C:V, 20, 0),)</f>
        <v>7А</v>
      </c>
      <c r="H21" s="81" t="str">
        <f ca="1">IFERROR(
  VLOOKUP(A21, '1C'!C:G, 5, 0),)</f>
        <v>NTRV13000</v>
      </c>
      <c r="I21" s="90">
        <f ca="1">IFERROR( VLOOKUP(A21, '1C'!C:I, 7, 0),)</f>
        <v>4820122950535</v>
      </c>
      <c r="J21" s="91" t="str">
        <f ca="1">IFERROR(
  VLOOKUP(A21, '1C'!C:H, 6, 0),)</f>
        <v>8517 62 00 00</v>
      </c>
      <c r="K21" s="86"/>
      <c r="L21" s="107" t="str">
        <f ca="1">IFERROR(__xludf.DUMMYFUNCTION("""COMPUTED_VALUE"""),"Odłączane przekładniki prądowe")</f>
        <v>Odłączane przekładniki prądowe</v>
      </c>
    </row>
    <row r="22" spans="1:12" ht="14.4">
      <c r="A22" s="93" t="str">
        <f ca="1">IFERROR(__xludf.DUMMYFUNCTION("iferror(IFERROR(
HYPERLINK(
  VLOOKUP(
    INDEX(UNIQUE(FLATTEN({'1C'!$X$2:X200,'1C'!$C$2:C200})), ROW(A20)), 
    '1C'!C:O, 13, 0),
  INDEX(UNIQUE(FLATTEN({'1C'!$X$2:X200,'1C'!$C$2:C200})), ROW(A20))),
MATCH(INDEX(UNIQUE(FLATTEN({'1C'!$X$2:X200,'1C'!$C$2"&amp;":C200})), ROW(A20)), L$3:L200, 0)
),)"),"Regulator czasowy")</f>
        <v>Regulator czasowy</v>
      </c>
      <c r="B22" s="111">
        <f ca="1">IFERROR(
  VLOOKUP(A22, '1C'!C:F, 4, 0),)</f>
        <v>0</v>
      </c>
      <c r="C22" s="111">
        <f ca="1">IFERROR(
  VLOOKUP(A22, '1C'!C:AA, 25, 0),)</f>
        <v>0</v>
      </c>
      <c r="D22" s="80">
        <f ca="1">IFERROR(
  VLOOKUP(A22, '1C'!C:L, 10, 0),)</f>
        <v>0</v>
      </c>
      <c r="E22" s="81">
        <f ca="1">IFERROR(
  VLOOKUP(A22, '1C'!C:R, 16, 0),)</f>
        <v>0</v>
      </c>
      <c r="F22" s="82">
        <f ca="1">IFERROR(
  VLOOKUP(A22, '1C'!C:S, 17, 0),)</f>
        <v>0</v>
      </c>
      <c r="G22" s="83">
        <f ca="1">IFERROR(
  VLOOKUP(A22, '1C'!C:V, 20, 0),)</f>
        <v>0</v>
      </c>
      <c r="H22" s="81">
        <f ca="1">IFERROR(
  VLOOKUP(A22, '1C'!C:G, 5, 0),)</f>
        <v>0</v>
      </c>
      <c r="I22" s="90">
        <f ca="1">IFERROR( VLOOKUP(A22, '1C'!C:I, 7, 0),)</f>
        <v>0</v>
      </c>
      <c r="J22" s="91">
        <f ca="1">IFERROR(
  VLOOKUP(A22, '1C'!C:H, 6, 0),)</f>
        <v>0</v>
      </c>
      <c r="K22" s="86"/>
      <c r="L22" s="107" t="str">
        <f ca="1">IFERROR(__xludf.DUMMYFUNCTION("""COMPUTED_VALUE"""),"Ograniczniki przepięć (ograniczniki przepięć)")</f>
        <v>Ograniczniki przepięć (ograniczniki przepięć)</v>
      </c>
    </row>
    <row r="23" spans="1:12" ht="14.4">
      <c r="A23" s="88" t="str">
        <f ca="1">IFERROR(__xludf.DUMMYFUNCTION("iferror(IFERROR(
HYPERLINK(
  VLOOKUP(
    INDEX(UNIQUE(FLATTEN({'1C'!$X$2:X200,'1C'!$C$2:C200})), ROW(A21)), 
    '1C'!C:O, 13, 0),
  INDEX(UNIQUE(FLATTEN({'1C'!$X$2:X200,'1C'!$C$2:C200})), ROW(A21))),
MATCH(INDEX(UNIQUE(FLATTEN({'1C'!$X$2:X200,'1C'!$C$2"&amp;":C200})), ROW(A21)), L$3:L200, 0)
),)"),"REV-201")</f>
        <v>REV-201</v>
      </c>
      <c r="B23" s="111" t="str">
        <f ca="1">IFERROR(
  VLOOKUP(A23, '1C'!C:F, 4, 0),)</f>
        <v>wycofane z produkcji</v>
      </c>
      <c r="C23" s="111" t="str">
        <f ca="1">IFERROR(
  VLOOKUP(A23, '1C'!C:AA, 25, 0),)</f>
        <v>wycofane z produkcji</v>
      </c>
      <c r="D23" s="80" t="str">
        <f ca="1">IFERROR(
  VLOOKUP(A23, '1C'!C:L, 10, 0),)</f>
        <v>Dwukanałowy przekaźnik opóźniający</v>
      </c>
      <c r="E23" s="81" t="str">
        <f ca="1">IFERROR(
  VLOOKUP(A23, '1C'!C:R, 16, 0),)</f>
        <v>DIN</v>
      </c>
      <c r="F23" s="82">
        <f ca="1">IFERROR(
  VLOOKUP(A23, '1C'!C:S, 17, 0),)</f>
        <v>3</v>
      </c>
      <c r="G23" s="83" t="str">
        <f ca="1">IFERROR(
  VLOOKUP(A23, '1C'!C:V, 20, 0),)</f>
        <v>16А</v>
      </c>
      <c r="H23" s="81" t="str">
        <f ca="1">IFERROR(
  VLOOKUP(A23, '1C'!C:G, 5, 0),)</f>
        <v>NTREV2010</v>
      </c>
      <c r="I23" s="90">
        <f ca="1">IFERROR( VLOOKUP(A23, '1C'!C:I, 7, 0),)</f>
        <v>0</v>
      </c>
      <c r="J23" s="91" t="str">
        <f ca="1">IFERROR(
  VLOOKUP(A23, '1C'!C:H, 6, 0),)</f>
        <v>8536 49 00 90</v>
      </c>
      <c r="K23" s="86"/>
      <c r="L23" s="107" t="str">
        <f ca="1">IFERROR(__xludf.DUMMYFUNCTION("""COMPUTED_VALUE"""),"Przekaźnik napięciowy jednofazowy (gniazdo wtykowe)")</f>
        <v>Przekaźnik napięciowy jednofazowy (gniazdo wtykowe)</v>
      </c>
    </row>
    <row r="24" spans="1:12" ht="14.4">
      <c r="A24" s="88" t="str">
        <f ca="1">IFERROR(__xludf.DUMMYFUNCTION("iferror(IFERROR(
HYPERLINK(
  VLOOKUP(
    INDEX(UNIQUE(FLATTEN({'1C'!$X$2:X200,'1C'!$C$2:C200})), ROW(A22)), 
    '1C'!C:O, 13, 0),
  INDEX(UNIQUE(FLATTEN({'1C'!$X$2:X200,'1C'!$C$2:C200})), ROW(A22))),
MATCH(INDEX(UNIQUE(FLATTEN({'1C'!$X$2:X200,'1C'!$C$2"&amp;":C200})), ROW(A22)), L$3:L200, 0)
),)"),"REV-201m")</f>
        <v>REV-201m</v>
      </c>
      <c r="B24" s="111">
        <f ca="1">IFERROR(
  VLOOKUP(A24, '1C'!C:F, 4, 0),)</f>
        <v>160</v>
      </c>
      <c r="C24" s="111">
        <f ca="1">IFERROR(
  VLOOKUP(A24, '1C'!C:AA, 25, 0),)</f>
        <v>160</v>
      </c>
      <c r="D24" s="80" t="str">
        <f ca="1">IFERROR(
  VLOOKUP(A24, '1C'!C:L, 10, 0),)</f>
        <v>Zmodernizowany dwukanałowy przekaźnik opóźniający, 7 programów</v>
      </c>
      <c r="E24" s="81" t="str">
        <f ca="1">IFERROR(
  VLOOKUP(A24, '1C'!C:R, 16, 0),)</f>
        <v>DIN</v>
      </c>
      <c r="F24" s="82">
        <f ca="1">IFERROR(
  VLOOKUP(A24, '1C'!C:S, 17, 0),)</f>
        <v>2</v>
      </c>
      <c r="G24" s="83" t="str">
        <f ca="1">IFERROR(
  VLOOKUP(A24, '1C'!C:V, 20, 0),)</f>
        <v>16А</v>
      </c>
      <c r="H24" s="81" t="str">
        <f ca="1">IFERROR(
  VLOOKUP(A24, '1C'!C:G, 5, 0),)</f>
        <v>NTREV201M</v>
      </c>
      <c r="I24" s="90">
        <f ca="1">IFERROR( VLOOKUP(A24, '1C'!C:I, 7, 0),)</f>
        <v>4820122950481</v>
      </c>
      <c r="J24" s="91" t="str">
        <f ca="1">IFERROR(
  VLOOKUP(A24, '1C'!C:H, 6, 0),)</f>
        <v>8536 49 00 90</v>
      </c>
      <c r="K24" s="86"/>
      <c r="L24" s="107" t="str">
        <f ca="1">IFERROR(__xludf.DUMMYFUNCTION("""COMPUTED_VALUE"""),"Przekaźniki napięciowe jednofazowe (szyna DIN)")</f>
        <v>Przekaźniki napięciowe jednofazowe (szyna DIN)</v>
      </c>
    </row>
    <row r="25" spans="1:12" ht="14.4">
      <c r="A25" s="93" t="str">
        <f ca="1">IFERROR(__xludf.DUMMYFUNCTION("iferror(IFERROR(
HYPERLINK(
  VLOOKUP(
    INDEX(UNIQUE(FLATTEN({'1C'!$X$2:X200,'1C'!$C$2:C200})), ROW(A23)), 
    '1C'!C:O, 13, 0),
  INDEX(UNIQUE(FLATTEN({'1C'!$X$2:X200,'1C'!$C$2:C200})), ROW(A23))),
MATCH(INDEX(UNIQUE(FLATTEN({'1C'!$X$2:X200,'1C'!$C$2"&amp;":C200})), ROW(A23)), L$3:L200, 0)
),)"),"REV-123")</f>
        <v>REV-123</v>
      </c>
      <c r="B25" s="111">
        <f ca="1">IFERROR(
  VLOOKUP(A25, '1C'!C:F, 4, 0),)</f>
        <v>100</v>
      </c>
      <c r="C25" s="111">
        <f ca="1">IFERROR(
  VLOOKUP(A25, '1C'!C:AA, 25, 0),)</f>
        <v>100</v>
      </c>
      <c r="D25" s="80" t="str">
        <f ca="1">IFERROR(
  VLOOKUP(A25, '1C'!C:L, 10, 0),)</f>
        <v>Prosty timer, 1 regulacja, do wentylacji</v>
      </c>
      <c r="E25" s="81" t="str">
        <f ca="1">IFERROR(
  VLOOKUP(A25, '1C'!C:R, 16, 0),)</f>
        <v>DIN</v>
      </c>
      <c r="F25" s="82">
        <f ca="1">IFERROR(
  VLOOKUP(A25, '1C'!C:S, 17, 0),)</f>
        <v>1</v>
      </c>
      <c r="G25" s="83">
        <f ca="1">IFERROR(
  VLOOKUP(A25, '1C'!C:V, 20, 0),)</f>
        <v>0</v>
      </c>
      <c r="H25" s="81" t="str">
        <f ca="1">IFERROR(
  VLOOKUP(A25, '1C'!C:G, 5, 0),)</f>
        <v>NTRV12300</v>
      </c>
      <c r="I25" s="90">
        <f ca="1">IFERROR( VLOOKUP(A25, '1C'!C:I, 7, 0),)</f>
        <v>0</v>
      </c>
      <c r="J25" s="91" t="str">
        <f ca="1">IFERROR(
  VLOOKUP(A25, '1C'!C:H, 6, 0),)</f>
        <v>8536 49 00 90</v>
      </c>
      <c r="K25" s="86"/>
      <c r="L25" s="107" t="str">
        <f ca="1">IFERROR(__xludf.DUMMYFUNCTION("""COMPUTED_VALUE"""),"Przekaźnik przelewowy")</f>
        <v>Przekaźnik przelewowy</v>
      </c>
    </row>
    <row r="26" spans="1:12" ht="14.4">
      <c r="A26" s="88" t="str">
        <f ca="1">IFERROR(__xludf.DUMMYFUNCTION("iferror(IFERROR(
HYPERLINK(
  VLOOKUP(
    INDEX(UNIQUE(FLATTEN({'1C'!$X$2:X200,'1C'!$C$2:C200})), ROW(A24)), 
    '1C'!C:O, 13, 0),
  INDEX(UNIQUE(FLATTEN({'1C'!$X$2:X200,'1C'!$C$2:C200})), ROW(A24))),
MATCH(INDEX(UNIQUE(FLATTEN({'1C'!$X$2:X200,'1C'!$C$2"&amp;":C200})), ROW(A24)), L$3:L200, 0)
),)"),"REV-114")</f>
        <v>REV-114</v>
      </c>
      <c r="B26" s="111">
        <f ca="1">IFERROR(
  VLOOKUP(A26, '1C'!C:F, 4, 0),)</f>
        <v>120</v>
      </c>
      <c r="C26" s="111">
        <f ca="1">IFERROR(
  VLOOKUP(A26, '1C'!C:AA, 25, 0),)</f>
        <v>120</v>
      </c>
      <c r="D26" s="80" t="str">
        <f ca="1">IFERROR(
  VLOOKUP(A26, '1C'!C:L, 10, 0),)</f>
        <v>Przekaźnik czasowy, 17 programów, wyświetlacz + klawisze, 220V AC</v>
      </c>
      <c r="E26" s="81" t="str">
        <f ca="1">IFERROR(
  VLOOKUP(A26, '1C'!C:R, 16, 0),)</f>
        <v>DIN</v>
      </c>
      <c r="F26" s="82">
        <f ca="1">IFERROR(
  VLOOKUP(A26, '1C'!C:S, 17, 0),)</f>
        <v>1</v>
      </c>
      <c r="G26" s="83" t="str">
        <f ca="1">IFERROR(
  VLOOKUP(A26, '1C'!C:V, 20, 0),)</f>
        <v>6А</v>
      </c>
      <c r="H26" s="81" t="str">
        <f ca="1">IFERROR(
  VLOOKUP(A26, '1C'!C:G, 5, 0),)</f>
        <v>NTREV114A</v>
      </c>
      <c r="I26" s="90">
        <f ca="1">IFERROR( VLOOKUP(A26, '1C'!C:I, 7, 0),)</f>
        <v>4820122950504</v>
      </c>
      <c r="J26" s="91" t="str">
        <f ca="1">IFERROR(
  VLOOKUP(A26, '1C'!C:H, 6, 0),)</f>
        <v>8536 49 00 90</v>
      </c>
      <c r="K26" s="86"/>
      <c r="L26" s="107" t="str">
        <f ca="1">IFERROR(__xludf.DUMMYFUNCTION("""COMPUTED_VALUE"""),"STABILIZATORY NAPIĘCIA")</f>
        <v>STABILIZATORY NAPIĘCIA</v>
      </c>
    </row>
    <row r="27" spans="1:12" ht="14.4">
      <c r="A27" s="93" t="str">
        <f ca="1">IFERROR(__xludf.DUMMYFUNCTION("iferror(IFERROR(
HYPERLINK(
  VLOOKUP(
    INDEX(UNIQUE(FLATTEN({'1C'!$X$2:X200,'1C'!$C$2:C200})), ROW(A25)), 
    '1C'!C:O, 13, 0),
  INDEX(UNIQUE(FLATTEN({'1C'!$X$2:X200,'1C'!$C$2:C200})), ROW(A25))),
MATCH(INDEX(UNIQUE(FLATTEN({'1C'!$X$2:X200,'1C'!$C$2"&amp;":C200})), ROW(A25)), L$3:L200, 0)
),)"),"REV-114 24V")</f>
        <v>REV-114 24V</v>
      </c>
      <c r="B27" s="111">
        <f ca="1">IFERROR(
  VLOOKUP(A27, '1C'!C:F, 4, 0),)</f>
        <v>110</v>
      </c>
      <c r="C27" s="111">
        <f ca="1">IFERROR(
  VLOOKUP(A27, '1C'!C:AA, 25, 0),)</f>
        <v>110</v>
      </c>
      <c r="D27" s="80" t="str">
        <f ca="1">IFERROR(
  VLOOKUP(A27, '1C'!C:L, 10, 0),)</f>
        <v>Przekaźnik czasowy, 17 programów, wyświetlacz + klawisze, 24V DC</v>
      </c>
      <c r="E27" s="81" t="str">
        <f ca="1">IFERROR(
  VLOOKUP(A27, '1C'!C:R, 16, 0),)</f>
        <v>DIN</v>
      </c>
      <c r="F27" s="82">
        <f ca="1">IFERROR(
  VLOOKUP(A27, '1C'!C:S, 17, 0),)</f>
        <v>1</v>
      </c>
      <c r="G27" s="83" t="str">
        <f ca="1">IFERROR(
  VLOOKUP(A27, '1C'!C:V, 20, 0),)</f>
        <v>6А</v>
      </c>
      <c r="H27" s="81" t="str">
        <f ca="1">IFERROR(
  VLOOKUP(A27, '1C'!C:G, 5, 0),)</f>
        <v>NTREV114D</v>
      </c>
      <c r="I27" s="90">
        <f ca="1">IFERROR( VLOOKUP(A27, '1C'!C:I, 7, 0),)</f>
        <v>0</v>
      </c>
      <c r="J27" s="91" t="str">
        <f ca="1">IFERROR(
  VLOOKUP(A27, '1C'!C:H, 6, 0),)</f>
        <v>8536 49 00 90</v>
      </c>
      <c r="K27" s="86"/>
      <c r="L27" s="107" t="str">
        <f ca="1">IFERROR(__xludf.DUMMYFUNCTION("""COMPUTED_VALUE"""),"Panele sterowania")</f>
        <v>Panele sterowania</v>
      </c>
    </row>
    <row r="28" spans="1:12" ht="14.4">
      <c r="A28" s="88" t="str">
        <f ca="1">IFERROR(__xludf.DUMMYFUNCTION("iferror(IFERROR(
HYPERLINK(
  VLOOKUP(
    INDEX(UNIQUE(FLATTEN({'1C'!$X$2:X200,'1C'!$C$2:C200})), ROW(A26)), 
    '1C'!C:O, 13, 0),
  INDEX(UNIQUE(FLATTEN({'1C'!$X$2:X200,'1C'!$C$2:C200})), ROW(A26))),
MATCH(INDEX(UNIQUE(FLATTEN({'1C'!$X$2:X200,'1C'!$C$2"&amp;":C200})), ROW(A26)), L$3:L200, 0)
),)"),"REV-114n")</f>
        <v>REV-114n</v>
      </c>
      <c r="B28" s="111">
        <f ca="1">IFERROR(
  VLOOKUP(A28, '1C'!C:F, 4, 0),)</f>
        <v>120</v>
      </c>
      <c r="C28" s="111">
        <f ca="1">IFERROR(
  VLOOKUP(A28, '1C'!C:AA, 25, 0),)</f>
        <v>120</v>
      </c>
      <c r="D28" s="80" t="str">
        <f ca="1">IFERROR(
  VLOOKUP(A28, '1C'!C:L, 10, 0),)</f>
        <v>Przekaźnik czasowy, 17 programów, wyświetlacz + klawisze, uniwersalne zasilanie 24V DC i 220V AC</v>
      </c>
      <c r="E28" s="81" t="str">
        <f ca="1">IFERROR(
  VLOOKUP(A28, '1C'!C:R, 16, 0),)</f>
        <v>DIN</v>
      </c>
      <c r="F28" s="82">
        <f ca="1">IFERROR(
  VLOOKUP(A28, '1C'!C:S, 17, 0),)</f>
        <v>1</v>
      </c>
      <c r="G28" s="83" t="str">
        <f ca="1">IFERROR(
  VLOOKUP(A28, '1C'!C:V, 20, 0),)</f>
        <v>6А</v>
      </c>
      <c r="H28" s="81" t="str">
        <f ca="1">IFERROR(
  VLOOKUP(A28, '1C'!C:G, 5, 0),)</f>
        <v>NTREV114N</v>
      </c>
      <c r="I28" s="90">
        <f ca="1">IFERROR( VLOOKUP(A28, '1C'!C:I, 7, 0),)</f>
        <v>4820122950559</v>
      </c>
      <c r="J28" s="91" t="str">
        <f ca="1">IFERROR(
  VLOOKUP(A28, '1C'!C:H, 6, 0),)</f>
        <v>8536 49 00 90</v>
      </c>
      <c r="K28" s="86"/>
      <c r="L28" s="92"/>
    </row>
    <row r="29" spans="1:12" ht="14.4">
      <c r="A29" s="88" t="str">
        <f ca="1">IFERROR(__xludf.DUMMYFUNCTION("iferror(IFERROR(
HYPERLINK(
  VLOOKUP(
    INDEX(UNIQUE(FLATTEN({'1C'!$X$2:X200,'1C'!$C$2:C200})), ROW(A27)), 
    '1C'!C:O, 13, 0),
  INDEX(UNIQUE(FLATTEN({'1C'!$X$2:X200,'1C'!$C$2:C200})), ROW(A27))),
MATCH(INDEX(UNIQUE(FLATTEN({'1C'!$X$2:X200,'1C'!$C$2"&amp;":C200})), ROW(A27)), L$3:L200, 0)
),)"),"REV-120")</f>
        <v>REV-120</v>
      </c>
      <c r="B29" s="111">
        <f ca="1">IFERROR(
  VLOOKUP(A29, '1C'!C:F, 4, 0),)</f>
        <v>120</v>
      </c>
      <c r="C29" s="111">
        <f ca="1">IFERROR(
  VLOOKUP(A29, '1C'!C:AA, 25, 0),)</f>
        <v>120</v>
      </c>
      <c r="D29" s="80" t="str">
        <f ca="1">IFERROR(
  VLOOKUP(A29, '1C'!C:L, 10, 0),)</f>
        <v>Przekaźnik czasowy, 10 programów, potencjometry, 220V AC</v>
      </c>
      <c r="E29" s="81" t="str">
        <f ca="1">IFERROR(
  VLOOKUP(A29, '1C'!C:R, 16, 0),)</f>
        <v>DIN</v>
      </c>
      <c r="F29" s="82">
        <f ca="1">IFERROR(
  VLOOKUP(A29, '1C'!C:S, 17, 0),)</f>
        <v>1</v>
      </c>
      <c r="G29" s="83" t="str">
        <f ca="1">IFERROR(
  VLOOKUP(A29, '1C'!C:V, 20, 0),)</f>
        <v>6А</v>
      </c>
      <c r="H29" s="81" t="str">
        <f ca="1">IFERROR(
  VLOOKUP(A29, '1C'!C:G, 5, 0),)</f>
        <v>NTREV120A</v>
      </c>
      <c r="I29" s="90">
        <f ca="1">IFERROR( VLOOKUP(A29, '1C'!C:I, 7, 0),)</f>
        <v>4820122950498</v>
      </c>
      <c r="J29" s="91" t="str">
        <f ca="1">IFERROR(
  VLOOKUP(A29, '1C'!C:H, 6, 0),)</f>
        <v>8536 49 00 90</v>
      </c>
      <c r="K29" s="86"/>
      <c r="L29" s="92"/>
    </row>
    <row r="30" spans="1:12" ht="14.4">
      <c r="A30" s="93" t="str">
        <f ca="1">IFERROR(__xludf.DUMMYFUNCTION("iferror(IFERROR(
HYPERLINK(
  VLOOKUP(
    INDEX(UNIQUE(FLATTEN({'1C'!$X$2:X200,'1C'!$C$2:C200})), ROW(A28)), 
    '1C'!C:O, 13, 0),
  INDEX(UNIQUE(FLATTEN({'1C'!$X$2:X200,'1C'!$C$2:C200})), ROW(A28))),
MATCH(INDEX(UNIQUE(FLATTEN({'1C'!$X$2:X200,'1C'!$C$2"&amp;":C200})), ROW(A28)), L$3:L200, 0)
),)"),"REV-120 24V")</f>
        <v>REV-120 24V</v>
      </c>
      <c r="B30" s="111">
        <f ca="1">IFERROR(
  VLOOKUP(A30, '1C'!C:F, 4, 0),)</f>
        <v>95</v>
      </c>
      <c r="C30" s="111">
        <f ca="1">IFERROR(
  VLOOKUP(A30, '1C'!C:AA, 25, 0),)</f>
        <v>95</v>
      </c>
      <c r="D30" s="80" t="str">
        <f ca="1">IFERROR(
  VLOOKUP(A30, '1C'!C:L, 10, 0),)</f>
        <v>Przekaźnik czasowy, 10 programów, potencjometry, 24V DC</v>
      </c>
      <c r="E30" s="81" t="str">
        <f ca="1">IFERROR(
  VLOOKUP(A30, '1C'!C:R, 16, 0),)</f>
        <v>DIN</v>
      </c>
      <c r="F30" s="82">
        <f ca="1">IFERROR(
  VLOOKUP(A30, '1C'!C:S, 17, 0),)</f>
        <v>1</v>
      </c>
      <c r="G30" s="83" t="str">
        <f ca="1">IFERROR(
  VLOOKUP(A30, '1C'!C:V, 20, 0),)</f>
        <v>6А</v>
      </c>
      <c r="H30" s="81" t="str">
        <f ca="1">IFERROR(
  VLOOKUP(A30, '1C'!C:G, 5, 0),)</f>
        <v>NTREV120D</v>
      </c>
      <c r="I30" s="90">
        <f ca="1">IFERROR( VLOOKUP(A30, '1C'!C:I, 7, 0),)</f>
        <v>0</v>
      </c>
      <c r="J30" s="91" t="str">
        <f ca="1">IFERROR(
  VLOOKUP(A30, '1C'!C:H, 6, 0),)</f>
        <v>8536 49 00 90</v>
      </c>
      <c r="K30" s="86"/>
      <c r="L30" s="92"/>
    </row>
    <row r="31" spans="1:12" ht="14.4">
      <c r="A31" s="93" t="str">
        <f ca="1">IFERROR(__xludf.DUMMYFUNCTION("iferror(IFERROR(
HYPERLINK(
  VLOOKUP(
    INDEX(UNIQUE(FLATTEN({'1C'!$X$2:X200,'1C'!$C$2:C200})), ROW(A29)), 
    '1C'!C:O, 13, 0),
  INDEX(UNIQUE(FLATTEN({'1C'!$X$2:X200,'1C'!$C$2:C200})), ROW(A29))),
MATCH(INDEX(UNIQUE(FLATTEN({'1C'!$X$2:X200,'1C'!$C$2"&amp;":C200})), ROW(A29)), L$3:L200, 0)
),)"),"REV-120n")</f>
        <v>REV-120n</v>
      </c>
      <c r="B31" s="111">
        <f ca="1">IFERROR(
  VLOOKUP(A31, '1C'!C:F, 4, 0),)</f>
        <v>120</v>
      </c>
      <c r="C31" s="111">
        <f ca="1">IFERROR(
  VLOOKUP(A31, '1C'!C:AA, 25, 0),)</f>
        <v>120</v>
      </c>
      <c r="D31" s="80" t="str">
        <f ca="1">IFERROR(
  VLOOKUP(A31, '1C'!C:L, 10, 0),)</f>
        <v>Przekaźnik czasowy, 10 programów, potencjometry, uniwersalne zasilanie 24V DC i 220V AC</v>
      </c>
      <c r="E31" s="81" t="str">
        <f ca="1">IFERROR(
  VLOOKUP(A31, '1C'!C:R, 16, 0),)</f>
        <v>DIN</v>
      </c>
      <c r="F31" s="82">
        <f ca="1">IFERROR(
  VLOOKUP(A31, '1C'!C:S, 17, 0),)</f>
        <v>1</v>
      </c>
      <c r="G31" s="83" t="str">
        <f ca="1">IFERROR(
  VLOOKUP(A31, '1C'!C:V, 20, 0),)</f>
        <v>6А</v>
      </c>
      <c r="H31" s="81" t="str">
        <f ca="1">IFERROR(
  VLOOKUP(A31, '1C'!C:G, 5, 0),)</f>
        <v>NTREV120N</v>
      </c>
      <c r="I31" s="90">
        <f ca="1">IFERROR( VLOOKUP(A31, '1C'!C:I, 7, 0),)</f>
        <v>0</v>
      </c>
      <c r="J31" s="91" t="str">
        <f ca="1">IFERROR(
  VLOOKUP(A31, '1C'!C:H, 6, 0),)</f>
        <v>8536 49 00 90</v>
      </c>
      <c r="K31" s="86"/>
      <c r="L31" s="92"/>
    </row>
    <row r="32" spans="1:12" ht="14.4">
      <c r="A32" s="88" t="str">
        <f ca="1">IFERROR(__xludf.DUMMYFUNCTION("iferror(IFERROR(
HYPERLINK(
  VLOOKUP(
    INDEX(UNIQUE(FLATTEN({'1C'!$X$2:X200,'1C'!$C$2:C200})), ROW(A30)), 
    '1C'!C:O, 13, 0),
  INDEX(UNIQUE(FLATTEN({'1C'!$X$2:X200,'1C'!$C$2:C200})), ROW(A30))),
MATCH(INDEX(UNIQUE(FLATTEN({'1C'!$X$2:X200,'1C'!$C$2"&amp;":C200})), ROW(A30)), L$3:L200, 0)
),)"),"TK-415m")</f>
        <v>TK-415m</v>
      </c>
      <c r="B32" s="111">
        <f ca="1">IFERROR(
  VLOOKUP(A32, '1C'!C:F, 4, 0),)</f>
        <v>395</v>
      </c>
      <c r="C32" s="111">
        <f ca="1">IFERROR(
  VLOOKUP(A32, '1C'!C:AA, 25, 0),)</f>
        <v>395</v>
      </c>
      <c r="D32" s="80" t="str">
        <f ca="1">IFERROR(
  VLOOKUP(A32, '1C'!C:L, 10, 0),)</f>
        <v>Przekaźnik szeregowo-kombinowany, 15 kanałów, automatyzacja procesu</v>
      </c>
      <c r="E32" s="81" t="str">
        <f ca="1">IFERROR(
  VLOOKUP(A32, '1C'!C:R, 16, 0),)</f>
        <v>DIN</v>
      </c>
      <c r="F32" s="82">
        <f ca="1">IFERROR(
  VLOOKUP(A32, '1C'!C:S, 17, 0),)</f>
        <v>9</v>
      </c>
      <c r="G32" s="83" t="str">
        <f ca="1">IFERROR(
  VLOOKUP(A32, '1C'!C:V, 20, 0),)</f>
        <v>10А</v>
      </c>
      <c r="H32" s="81" t="str">
        <f ca="1">IFERROR(
  VLOOKUP(A32, '1C'!C:G, 5, 0),)</f>
        <v>NTREV415M</v>
      </c>
      <c r="I32" s="90">
        <f ca="1">IFERROR( VLOOKUP(A32, '1C'!C:I, 7, 0),)</f>
        <v>0</v>
      </c>
      <c r="J32" s="91" t="str">
        <f ca="1">IFERROR(
  VLOOKUP(A32, '1C'!C:H, 6, 0),)</f>
        <v>8536 49 00 90</v>
      </c>
      <c r="K32" s="86"/>
      <c r="L32" s="92"/>
    </row>
    <row r="33" spans="1:12" ht="14.4">
      <c r="A33" s="93" t="str">
        <f ca="1">IFERROR(__xludf.DUMMYFUNCTION("iferror(IFERROR(
HYPERLINK(
  VLOOKUP(
    INDEX(UNIQUE(FLATTEN({'1C'!$X$2:X200,'1C'!$C$2:C200})), ROW(A31)), 
    '1C'!C:O, 13, 0),
  INDEX(UNIQUE(FLATTEN({'1C'!$X$2:X200,'1C'!$C$2:C200})), ROW(A31))),
MATCH(INDEX(UNIQUE(FLATTEN({'1C'!$X$2:X200,'1C'!$C$2"&amp;":C200})), ROW(A31)), L$3:L200, 0)
),)"),"Przełączniki fazowe")</f>
        <v>Przełączniki fazowe</v>
      </c>
      <c r="B33" s="111">
        <f ca="1">IFERROR(
  VLOOKUP(A33, '1C'!C:F, 4, 0),)</f>
        <v>0</v>
      </c>
      <c r="C33" s="111">
        <f ca="1">IFERROR(
  VLOOKUP(A33, '1C'!C:AA, 25, 0),)</f>
        <v>0</v>
      </c>
      <c r="D33" s="80">
        <f ca="1">IFERROR(
  VLOOKUP(A33, '1C'!C:L, 10, 0),)</f>
        <v>0</v>
      </c>
      <c r="E33" s="81">
        <f ca="1">IFERROR(
  VLOOKUP(A33, '1C'!C:R, 16, 0),)</f>
        <v>0</v>
      </c>
      <c r="F33" s="82">
        <f ca="1">IFERROR(
  VLOOKUP(A33, '1C'!C:S, 17, 0),)</f>
        <v>0</v>
      </c>
      <c r="G33" s="83">
        <f ca="1">IFERROR(
  VLOOKUP(A33, '1C'!C:V, 20, 0),)</f>
        <v>0</v>
      </c>
      <c r="H33" s="81">
        <f ca="1">IFERROR(
  VLOOKUP(A33, '1C'!C:G, 5, 0),)</f>
        <v>0</v>
      </c>
      <c r="I33" s="90">
        <f ca="1">IFERROR( VLOOKUP(A33, '1C'!C:I, 7, 0),)</f>
        <v>0</v>
      </c>
      <c r="J33" s="91">
        <f ca="1">IFERROR(
  VLOOKUP(A33, '1C'!C:H, 6, 0),)</f>
        <v>0</v>
      </c>
      <c r="K33" s="86"/>
      <c r="L33" s="92"/>
    </row>
    <row r="34" spans="1:12" ht="14.4">
      <c r="A34" s="88" t="str">
        <f ca="1">IFERROR(__xludf.DUMMYFUNCTION("iferror(IFERROR(
HYPERLINK(
  VLOOKUP(
    INDEX(UNIQUE(FLATTEN({'1C'!$X$2:X200,'1C'!$C$2:C200})), ROW(A32)), 
    '1C'!C:O, 13, 0),
  INDEX(UNIQUE(FLATTEN({'1C'!$X$2:X200,'1C'!$C$2:C200})), ROW(A32))),
MATCH(INDEX(UNIQUE(FLATTEN({'1C'!$X$2:X200,'1C'!$C$2"&amp;":C200})), ROW(A32)), L$3:L200, 0)
),)"),"PEF-301")</f>
        <v>PEF-301</v>
      </c>
      <c r="B34" s="111">
        <f ca="1">IFERROR(
  VLOOKUP(A34, '1C'!C:F, 4, 0),)</f>
        <v>250</v>
      </c>
      <c r="C34" s="111">
        <f ca="1">IFERROR(
  VLOOKUP(A34, '1C'!C:AA, 25, 0),)</f>
        <v>250</v>
      </c>
      <c r="D34" s="80" t="str">
        <f ca="1">IFERROR(
  VLOOKUP(A34, '1C'!C:L, 10, 0),)</f>
        <v>Przełącznik fazy, połączenie bezpośrednie lub styczniki</v>
      </c>
      <c r="E34" s="81" t="str">
        <f ca="1">IFERROR(
  VLOOKUP(A34, '1C'!C:R, 16, 0),)</f>
        <v>DIN</v>
      </c>
      <c r="F34" s="82">
        <f ca="1">IFERROR(
  VLOOKUP(A34, '1C'!C:S, 17, 0),)</f>
        <v>4</v>
      </c>
      <c r="G34" s="83" t="str">
        <f ca="1">IFERROR(
  VLOOKUP(A34, '1C'!C:V, 20, 0),)</f>
        <v>16А</v>
      </c>
      <c r="H34" s="81" t="str">
        <f ca="1">IFERROR(
  VLOOKUP(A34, '1C'!C:G, 5, 0),)</f>
        <v>NTPEF3010</v>
      </c>
      <c r="I34" s="90">
        <f ca="1">IFERROR( VLOOKUP(A34, '1C'!C:I, 7, 0),)</f>
        <v>0</v>
      </c>
      <c r="J34" s="91" t="str">
        <f ca="1">IFERROR(
  VLOOKUP(A34, '1C'!C:H, 6, 0),)</f>
        <v>8536 90 95 00</v>
      </c>
      <c r="K34" s="86"/>
      <c r="L34" s="92"/>
    </row>
    <row r="35" spans="1:12" ht="14.4">
      <c r="A35" s="88" t="str">
        <f ca="1">IFERROR(__xludf.DUMMYFUNCTION("iferror(IFERROR(
HYPERLINK(
  VLOOKUP(
    INDEX(UNIQUE(FLATTEN({'1C'!$X$2:X200,'1C'!$C$2:C200})), ROW(A33)), 
    '1C'!C:O, 13, 0),
  INDEX(UNIQUE(FLATTEN({'1C'!$X$2:X200,'1C'!$C$2:C200})), ROW(A33))),
MATCH(INDEX(UNIQUE(FLATTEN({'1C'!$X$2:X200,'1C'!$C$2"&amp;":C200})), ROW(A33)), L$3:L200, 0)
),)"),"PEF-319")</f>
        <v>PEF-319</v>
      </c>
      <c r="B35" s="111">
        <f ca="1">IFERROR(
  VLOOKUP(A35, '1C'!C:F, 4, 0),)</f>
        <v>340</v>
      </c>
      <c r="C35" s="111">
        <f ca="1">IFERROR(
  VLOOKUP(A35, '1C'!C:AA, 25, 0),)</f>
        <v>340</v>
      </c>
      <c r="D35" s="80" t="str">
        <f ca="1">IFERROR(
  VLOOKUP(A35, '1C'!C:L, 10, 0),)</f>
        <v>Przełącznik fazy, połączenie bezpośrednie lub styczniki</v>
      </c>
      <c r="E35" s="81" t="str">
        <f ca="1">IFERROR(
  VLOOKUP(A35, '1C'!C:R, 16, 0),)</f>
        <v>DIN</v>
      </c>
      <c r="F35" s="82">
        <f ca="1">IFERROR(
  VLOOKUP(A35, '1C'!C:S, 17, 0),)</f>
        <v>9</v>
      </c>
      <c r="G35" s="83" t="str">
        <f ca="1">IFERROR(
  VLOOKUP(A35, '1C'!C:V, 20, 0),)</f>
        <v>32А</v>
      </c>
      <c r="H35" s="81" t="str">
        <f ca="1">IFERROR(
  VLOOKUP(A35, '1C'!C:G, 5, 0),)</f>
        <v>NTPEF3190</v>
      </c>
      <c r="I35" s="90">
        <f ca="1">IFERROR( VLOOKUP(A35, '1C'!C:I, 7, 0),)</f>
        <v>0</v>
      </c>
      <c r="J35" s="91" t="str">
        <f ca="1">IFERROR(
  VLOOKUP(A35, '1C'!C:H, 6, 0),)</f>
        <v>8536 90 95 00</v>
      </c>
      <c r="K35" s="86"/>
      <c r="L35" s="92"/>
    </row>
    <row r="36" spans="1:12" ht="14.4">
      <c r="A36" s="88" t="str">
        <f ca="1">IFERROR(__xludf.DUMMYFUNCTION("iferror(IFERROR(
HYPERLINK(
  VLOOKUP(
    INDEX(UNIQUE(FLATTEN({'1C'!$X$2:X200,'1C'!$C$2:C200})), ROW(A34)), 
    '1C'!C:O, 13, 0),
  INDEX(UNIQUE(FLATTEN({'1C'!$X$2:X200,'1C'!$C$2:C200})), ROW(A34))),
MATCH(INDEX(UNIQUE(FLATTEN({'1C'!$X$2:X200,'1C'!$C$2"&amp;":C200})), ROW(A34)), L$3:L200, 0)
),)"),"PEF-320")</f>
        <v>PEF-320</v>
      </c>
      <c r="B36" s="111">
        <f ca="1">IFERROR(
  VLOOKUP(A36, '1C'!C:F, 4, 0),)</f>
        <v>300</v>
      </c>
      <c r="C36" s="111">
        <f ca="1">IFERROR(
  VLOOKUP(A36, '1C'!C:AA, 25, 0),)</f>
        <v>300</v>
      </c>
      <c r="D36" s="80" t="str">
        <f ca="1">IFERROR(
  VLOOKUP(A36, '1C'!C:L, 10, 0),)</f>
        <v>Przełącznik fazy, połączenie bezpośrednie</v>
      </c>
      <c r="E36" s="81" t="str">
        <f ca="1">IFERROR(
  VLOOKUP(A36, '1C'!C:R, 16, 0),)</f>
        <v>DIN</v>
      </c>
      <c r="F36" s="82">
        <f ca="1">IFERROR(
  VLOOKUP(A36, '1C'!C:S, 17, 0),)</f>
        <v>2</v>
      </c>
      <c r="G36" s="83" t="str">
        <f ca="1">IFERROR(
  VLOOKUP(A36, '1C'!C:V, 20, 0),)</f>
        <v>16А</v>
      </c>
      <c r="H36" s="81" t="str">
        <f ca="1">IFERROR(
  VLOOKUP(A36, '1C'!C:G, 5, 0),)</f>
        <v>NTPEF3200</v>
      </c>
      <c r="I36" s="90">
        <f ca="1">IFERROR( VLOOKUP(A36, '1C'!C:I, 7, 0),)</f>
        <v>0</v>
      </c>
      <c r="J36" s="91" t="str">
        <f ca="1">IFERROR(
  VLOOKUP(A36, '1C'!C:H, 6, 0),)</f>
        <v>8536 90 95 00</v>
      </c>
      <c r="K36" s="86"/>
      <c r="L36" s="92"/>
    </row>
    <row r="37" spans="1:12" ht="14.4">
      <c r="A37" s="88" t="str">
        <f ca="1">IFERROR(__xludf.DUMMYFUNCTION("iferror(IFERROR(
HYPERLINK(
  VLOOKUP(
    INDEX(UNIQUE(FLATTEN({'1C'!$X$2:X200,'1C'!$C$2:C200})), ROW(A35)), 
    '1C'!C:O, 13, 0),
  INDEX(UNIQUE(FLATTEN({'1C'!$X$2:X200,'1C'!$C$2:C200})), ROW(A35))),
MATCH(INDEX(UNIQUE(FLATTEN({'1C'!$X$2:X200,'1C'!$C$2"&amp;":C200})), ROW(A35)), L$3:L200, 0)
),)"),"PEF-305")</f>
        <v>PEF-305</v>
      </c>
      <c r="B37" s="111">
        <f ca="1">IFERROR(
  VLOOKUP(A37, '1C'!C:F, 4, 0),)</f>
        <v>234.5</v>
      </c>
      <c r="C37" s="111">
        <f ca="1">IFERROR(
  VLOOKUP(A37, '1C'!C:AA, 25, 0),)</f>
        <v>234.5</v>
      </c>
      <c r="D37" s="80" t="str">
        <f ca="1">IFERROR(
  VLOOKUP(A37, '1C'!C:L, 10, 0),)</f>
        <v>Przełącznik fazy, połączenie bezpośrednie</v>
      </c>
      <c r="E37" s="81" t="str">
        <f ca="1">IFERROR(
  VLOOKUP(A37, '1C'!C:R, 16, 0),)</f>
        <v>DIN</v>
      </c>
      <c r="F37" s="82">
        <f ca="1">IFERROR(
  VLOOKUP(A37, '1C'!C:S, 17, 0),)</f>
        <v>2</v>
      </c>
      <c r="G37" s="83" t="str">
        <f ca="1">IFERROR(
  VLOOKUP(A37, '1C'!C:V, 20, 0),)</f>
        <v>16А</v>
      </c>
      <c r="H37" s="81" t="str">
        <f ca="1">IFERROR(
  VLOOKUP(A37, '1C'!C:G, 5, 0),)</f>
        <v>-</v>
      </c>
      <c r="I37" s="90">
        <f ca="1">IFERROR( VLOOKUP(A37, '1C'!C:I, 7, 0),)</f>
        <v>0</v>
      </c>
      <c r="J37" s="91" t="str">
        <f ca="1">IFERROR(
  VLOOKUP(A37, '1C'!C:H, 6, 0),)</f>
        <v>-</v>
      </c>
      <c r="K37" s="86"/>
      <c r="L37" s="92"/>
    </row>
    <row r="38" spans="1:12" ht="14.4">
      <c r="A38" s="93" t="str">
        <f ca="1">IFERROR(__xludf.DUMMYFUNCTION("iferror(IFERROR(
HYPERLINK(
  VLOOKUP(
    INDEX(UNIQUE(FLATTEN({'1C'!$X$2:X200,'1C'!$C$2:C200})), ROW(A36)), 
    '1C'!C:O, 13, 0),
  INDEX(UNIQUE(FLATTEN({'1C'!$X$2:X200,'1C'!$C$2:C200})), ROW(A36))),
MATCH(INDEX(UNIQUE(FLATTEN({'1C'!$X$2:X200,'1C'!$C$2"&amp;":C200})), ROW(A36)), L$3:L200, 0)
),)"),"Bloki ochrony silników elektrycznych")</f>
        <v>Bloki ochrony silników elektrycznych</v>
      </c>
      <c r="B38" s="111">
        <f ca="1">IFERROR(
  VLOOKUP(A38, '1C'!C:F, 4, 0),)</f>
        <v>0</v>
      </c>
      <c r="C38" s="111">
        <f ca="1">IFERROR(
  VLOOKUP(A38, '1C'!C:AA, 25, 0),)</f>
        <v>0</v>
      </c>
      <c r="D38" s="80">
        <f ca="1">IFERROR(
  VLOOKUP(A38, '1C'!C:L, 10, 0),)</f>
        <v>0</v>
      </c>
      <c r="E38" s="81">
        <f ca="1">IFERROR(
  VLOOKUP(A38, '1C'!C:R, 16, 0),)</f>
        <v>0</v>
      </c>
      <c r="F38" s="82">
        <f ca="1">IFERROR(
  VLOOKUP(A38, '1C'!C:S, 17, 0),)</f>
        <v>0</v>
      </c>
      <c r="G38" s="83">
        <f ca="1">IFERROR(
  VLOOKUP(A38, '1C'!C:V, 20, 0),)</f>
        <v>0</v>
      </c>
      <c r="H38" s="81">
        <f ca="1">IFERROR(
  VLOOKUP(A38, '1C'!C:G, 5, 0),)</f>
        <v>0</v>
      </c>
      <c r="I38" s="90">
        <f ca="1">IFERROR( VLOOKUP(A38, '1C'!C:I, 7, 0),)</f>
        <v>0</v>
      </c>
      <c r="J38" s="91">
        <f ca="1">IFERROR(
  VLOOKUP(A38, '1C'!C:H, 6, 0),)</f>
        <v>0</v>
      </c>
      <c r="K38" s="86"/>
      <c r="L38" s="92"/>
    </row>
    <row r="39" spans="1:12" ht="14.4">
      <c r="A39" s="88" t="str">
        <f ca="1">IFERROR(__xludf.DUMMYFUNCTION("iferror(IFERROR(
HYPERLINK(
  VLOOKUP(
    INDEX(UNIQUE(FLATTEN({'1C'!$X$2:X200,'1C'!$C$2:C200})), ROW(A37)), 
    '1C'!C:O, 13, 0),
  INDEX(UNIQUE(FLATTEN({'1C'!$X$2:X200,'1C'!$C$2:C200})), ROW(A37))),
MATCH(INDEX(UNIQUE(FLATTEN({'1C'!$X$2:X200,'1C'!$C$2"&amp;":C200})), ROW(A37)), L$3:L200, 0)
),)"),"UBZ-301 5-50 A")</f>
        <v>UBZ-301 5-50 A</v>
      </c>
      <c r="B39" s="111">
        <f ca="1">IFERROR(
  VLOOKUP(A39, '1C'!C:F, 4, 0),)</f>
        <v>360</v>
      </c>
      <c r="C39" s="111">
        <f ca="1">IFERROR(
  VLOOKUP(A39, '1C'!C:AA, 25, 0),)</f>
        <v>365</v>
      </c>
      <c r="D39" s="80" t="str">
        <f ca="1">IFERROR(
  VLOOKUP(A39, '1C'!C:L, 10, 0),)</f>
        <v>Ochrona przed prądem, napięciem, przeciążeniem, przegrzaniem silnika, T/C w zestawie</v>
      </c>
      <c r="E39" s="81" t="str">
        <f ca="1">IFERROR(
  VLOOKUP(A39, '1C'!C:R, 16, 0),)</f>
        <v>DIN</v>
      </c>
      <c r="F39" s="82">
        <f ca="1">IFERROR(
  VLOOKUP(A39, '1C'!C:S, 17, 0),)</f>
        <v>4</v>
      </c>
      <c r="G39" s="83" t="str">
        <f ca="1">IFERROR(
  VLOOKUP(A39, '1C'!C:V, 20, 0),)</f>
        <v>5-50А, Stycznik</v>
      </c>
      <c r="H39" s="81" t="str">
        <f ca="1">IFERROR(
  VLOOKUP(A39, '1C'!C:G, 5, 0),)</f>
        <v>NTBZ30105</v>
      </c>
      <c r="I39" s="90">
        <f ca="1">IFERROR( VLOOKUP(A39, '1C'!C:I, 7, 0),)</f>
        <v>0</v>
      </c>
      <c r="J39" s="91" t="str">
        <f ca="1">IFERROR(
  VLOOKUP(A39, '1C'!C:H, 6, 0),)</f>
        <v>8536 90 95 00</v>
      </c>
      <c r="K39" s="86"/>
      <c r="L39" s="92"/>
    </row>
    <row r="40" spans="1:12" ht="14.4">
      <c r="A40" s="88" t="str">
        <f ca="1">IFERROR(__xludf.DUMMYFUNCTION("iferror(IFERROR(
HYPERLINK(
  VLOOKUP(
    INDEX(UNIQUE(FLATTEN({'1C'!$X$2:X200,'1C'!$C$2:C200})), ROW(A38)), 
    '1C'!C:O, 13, 0),
  INDEX(UNIQUE(FLATTEN({'1C'!$X$2:X200,'1C'!$C$2:C200})), ROW(A38))),
MATCH(INDEX(UNIQUE(FLATTEN({'1C'!$X$2:X200,'1C'!$C$2"&amp;":C200})), ROW(A38)), L$3:L200, 0)
),)"),"UBZ-301 10-100 A")</f>
        <v>UBZ-301 10-100 A</v>
      </c>
      <c r="B40" s="111">
        <f ca="1">IFERROR(
  VLOOKUP(A40, '1C'!C:F, 4, 0),)</f>
        <v>410</v>
      </c>
      <c r="C40" s="111">
        <f ca="1">IFERROR(
  VLOOKUP(A40, '1C'!C:AA, 25, 0),)</f>
        <v>410</v>
      </c>
      <c r="D40" s="80" t="str">
        <f ca="1">IFERROR(
  VLOOKUP(A40, '1C'!C:L, 10, 0),)</f>
        <v>Ochrona przed prądem, napięciem, przeciążeniem, przegrzaniem silnika, T/C w zestawie</v>
      </c>
      <c r="E40" s="81" t="str">
        <f ca="1">IFERROR(
  VLOOKUP(A40, '1C'!C:R, 16, 0),)</f>
        <v>DIN</v>
      </c>
      <c r="F40" s="82">
        <f ca="1">IFERROR(
  VLOOKUP(A40, '1C'!C:S, 17, 0),)</f>
        <v>4</v>
      </c>
      <c r="G40" s="83" t="str">
        <f ca="1">IFERROR(
  VLOOKUP(A40, '1C'!C:V, 20, 0),)</f>
        <v>10-100А, Stycznik</v>
      </c>
      <c r="H40" s="81" t="str">
        <f ca="1">IFERROR(
  VLOOKUP(A40, '1C'!C:G, 5, 0),)</f>
        <v>NTBZ30110</v>
      </c>
      <c r="I40" s="90">
        <f ca="1">IFERROR( VLOOKUP(A40, '1C'!C:I, 7, 0),)</f>
        <v>0</v>
      </c>
      <c r="J40" s="91" t="str">
        <f ca="1">IFERROR(
  VLOOKUP(A40, '1C'!C:H, 6, 0),)</f>
        <v>8536 90 95 00</v>
      </c>
      <c r="K40" s="86"/>
      <c r="L40" s="92"/>
    </row>
    <row r="41" spans="1:12" ht="14.4">
      <c r="A41" s="88" t="str">
        <f ca="1">IFERROR(__xludf.DUMMYFUNCTION("iferror(IFERROR(
HYPERLINK(
  VLOOKUP(
    INDEX(UNIQUE(FLATTEN({'1C'!$X$2:X200,'1C'!$C$2:C200})), ROW(A39)), 
    '1C'!C:O, 13, 0),
  INDEX(UNIQUE(FLATTEN({'1C'!$X$2:X200,'1C'!$C$2:C200})), ROW(A39))),
MATCH(INDEX(UNIQUE(FLATTEN({'1C'!$X$2:X200,'1C'!$C$2"&amp;":C200})), ROW(A39)), L$3:L200, 0)
),)"),"UBZ-301 63-630 A")</f>
        <v>UBZ-301 63-630 A</v>
      </c>
      <c r="B41" s="111">
        <f ca="1">IFERROR(
  VLOOKUP(A41, '1C'!C:F, 4, 0),)</f>
        <v>450</v>
      </c>
      <c r="C41" s="111">
        <f ca="1">IFERROR(
  VLOOKUP(A41, '1C'!C:AA, 25, 0),)</f>
        <v>460</v>
      </c>
      <c r="D41" s="80" t="str">
        <f ca="1">IFERROR(
  VLOOKUP(A41, '1C'!C:L, 10, 0),)</f>
        <v>Ochrona przed prądem, napięciem, przeciążeniem, przegrzaniem silnika, T/C w zestawie</v>
      </c>
      <c r="E41" s="81" t="str">
        <f ca="1">IFERROR(
  VLOOKUP(A41, '1C'!C:R, 16, 0),)</f>
        <v>DIN</v>
      </c>
      <c r="F41" s="82">
        <f ca="1">IFERROR(
  VLOOKUP(A41, '1C'!C:S, 17, 0),)</f>
        <v>4</v>
      </c>
      <c r="G41" s="83" t="str">
        <f ca="1">IFERROR(
  VLOOKUP(A41, '1C'!C:V, 20, 0),)</f>
        <v>63-630А, Stycznik</v>
      </c>
      <c r="H41" s="81" t="str">
        <f ca="1">IFERROR(
  VLOOKUP(A41, '1C'!C:G, 5, 0),)</f>
        <v>NTBZ30163</v>
      </c>
      <c r="I41" s="90">
        <f ca="1">IFERROR( VLOOKUP(A41, '1C'!C:I, 7, 0),)</f>
        <v>0</v>
      </c>
      <c r="J41" s="91" t="str">
        <f ca="1">IFERROR(
  VLOOKUP(A41, '1C'!C:H, 6, 0),)</f>
        <v>8536 90 95 00</v>
      </c>
      <c r="K41" s="86"/>
      <c r="L41" s="92"/>
    </row>
    <row r="42" spans="1:12" ht="14.4">
      <c r="A42" s="93" t="str">
        <f ca="1">IFERROR(__xludf.DUMMYFUNCTION("iferror(IFERROR(
HYPERLINK(
  VLOOKUP(
    INDEX(UNIQUE(FLATTEN({'1C'!$X$2:X200,'1C'!$C$2:C200})), ROW(A40)), 
    '1C'!C:O, 13, 0),
  INDEX(UNIQUE(FLATTEN({'1C'!$X$2:X200,'1C'!$C$2:C200})), ROW(A40))),
MATCH(INDEX(UNIQUE(FLATTEN({'1C'!$X$2:X200,'1C'!$C$2"&amp;":C200})), ROW(A40)), L$3:L200, 0)
),)"),"UBZ-301-01 5-50 A")</f>
        <v>UBZ-301-01 5-50 A</v>
      </c>
      <c r="B42" s="111">
        <f ca="1">IFERROR(
  VLOOKUP(A42, '1C'!C:F, 4, 0),)</f>
        <v>410</v>
      </c>
      <c r="C42" s="111">
        <f ca="1">IFERROR(
  VLOOKUP(A42, '1C'!C:AA, 25, 0),)</f>
        <v>410</v>
      </c>
      <c r="D42" s="80" t="str">
        <f ca="1">IFERROR(
  VLOOKUP(A42, '1C'!C:L, 10, 0),)</f>
        <v>Zabezpieczenie na prąd, napięcie, przeciążenie, przegrzanie silnika windy, T/S w zestawie</v>
      </c>
      <c r="E42" s="81" t="str">
        <f ca="1">IFERROR(
  VLOOKUP(A42, '1C'!C:R, 16, 0),)</f>
        <v>DIN</v>
      </c>
      <c r="F42" s="82">
        <f ca="1">IFERROR(
  VLOOKUP(A42, '1C'!C:S, 17, 0),)</f>
        <v>4</v>
      </c>
      <c r="G42" s="83" t="str">
        <f ca="1">IFERROR(
  VLOOKUP(A42, '1C'!C:V, 20, 0),)</f>
        <v>5-50А, Stycznik</v>
      </c>
      <c r="H42" s="81" t="str">
        <f ca="1">IFERROR(
  VLOOKUP(A42, '1C'!C:G, 5, 0),)</f>
        <v>NTBZ30101</v>
      </c>
      <c r="I42" s="90">
        <f ca="1">IFERROR( VLOOKUP(A42, '1C'!C:I, 7, 0),)</f>
        <v>0</v>
      </c>
      <c r="J42" s="91" t="str">
        <f ca="1">IFERROR(
  VLOOKUP(A42, '1C'!C:H, 6, 0),)</f>
        <v>8536 90 95 00</v>
      </c>
      <c r="K42" s="86"/>
      <c r="L42" s="92"/>
    </row>
    <row r="43" spans="1:12" ht="26.4">
      <c r="A43" s="88" t="str">
        <f ca="1">IFERROR(__xludf.DUMMYFUNCTION("iferror(IFERROR(
HYPERLINK(
  VLOOKUP(
    INDEX(UNIQUE(FLATTEN({'1C'!$X$2:X200,'1C'!$C$2:C200})), ROW(A41)), 
    '1C'!C:O, 13, 0),
  INDEX(UNIQUE(FLATTEN({'1C'!$X$2:X200,'1C'!$C$2:C200})), ROW(A41))),
MATCH(INDEX(UNIQUE(FLATTEN({'1C'!$X$2:X200,'1C'!$C$2"&amp;":C200})), ROW(A41)), L$3:L200, 0)
),)"),"UBZ-302m")</f>
        <v>UBZ-302m</v>
      </c>
      <c r="B43" s="111">
        <f ca="1">IFERROR(
  VLOOKUP(A43, '1C'!C:F, 4, 0),)</f>
        <v>600</v>
      </c>
      <c r="C43" s="111">
        <f ca="1">IFERROR(
  VLOOKUP(A43, '1C'!C:AA, 25, 0),)</f>
        <v>615</v>
      </c>
      <c r="D43" s="80" t="str">
        <f ca="1">IFERROR(
  VLOOKUP(A43, '1C'!C:L, 10, 0),)</f>
        <v>Zabezpieczenie prądowe, napięciowe, przeciążeniowe, przegrzanie silnika, T/S wbudowane lub zewnętrzne x/5 do 315 kW, ModBus</v>
      </c>
      <c r="E43" s="81" t="str">
        <f ca="1">IFERROR(
  VLOOKUP(A43, '1C'!C:R, 16, 0),)</f>
        <v>DIN</v>
      </c>
      <c r="F43" s="82">
        <f ca="1">IFERROR(
  VLOOKUP(A43, '1C'!C:S, 17, 0),)</f>
        <v>9</v>
      </c>
      <c r="G43" s="83" t="str">
        <f ca="1">IFERROR(
  VLOOKUP(A43, '1C'!C:V, 20, 0),)</f>
        <v>5-630А, Stycznik</v>
      </c>
      <c r="H43" s="81" t="str">
        <f ca="1">IFERROR(
  VLOOKUP(A43, '1C'!C:G, 5, 0),)</f>
        <v>NTBZ302M0</v>
      </c>
      <c r="I43" s="90">
        <f ca="1">IFERROR( VLOOKUP(A43, '1C'!C:I, 7, 0),)</f>
        <v>0</v>
      </c>
      <c r="J43" s="91" t="str">
        <f ca="1">IFERROR(
  VLOOKUP(A43, '1C'!C:H, 6, 0),)</f>
        <v>8536 90 95 00</v>
      </c>
      <c r="K43" s="86"/>
      <c r="L43" s="92"/>
    </row>
    <row r="44" spans="1:12" ht="26.4">
      <c r="A44" s="88" t="str">
        <f ca="1">IFERROR(__xludf.DUMMYFUNCTION("iferror(IFERROR(
HYPERLINK(
  VLOOKUP(
    INDEX(UNIQUE(FLATTEN({'1C'!$X$2:X200,'1C'!$C$2:C200})), ROW(A42)), 
    '1C'!C:O, 13, 0),
  INDEX(UNIQUE(FLATTEN({'1C'!$X$2:X200,'1C'!$C$2:C200})), ROW(A42))),
MATCH(INDEX(UNIQUE(FLATTEN({'1C'!$X$2:X200,'1C'!$C$2"&amp;":C200})), ROW(A42)), L$3:L200, 0)
),)"),"UBZ-302-01")</f>
        <v>UBZ-302-01</v>
      </c>
      <c r="B44" s="111">
        <f ca="1">IFERROR(
  VLOOKUP(A44, '1C'!C:F, 4, 0),)</f>
        <v>640</v>
      </c>
      <c r="C44" s="111">
        <f ca="1">IFERROR(
  VLOOKUP(A44, '1C'!C:AA, 25, 0),)</f>
        <v>650</v>
      </c>
      <c r="D44" s="80" t="str">
        <f ca="1">IFERROR(
  VLOOKUP(A44, '1C'!C:L, 10, 0),)</f>
        <v>Ochrona przed prądem, napięciem, przeciążeniem, przegrzaniem silnika windy do 50 A, wbudowana T/S, ModBus</v>
      </c>
      <c r="E44" s="81" t="str">
        <f ca="1">IFERROR(
  VLOOKUP(A44, '1C'!C:R, 16, 0),)</f>
        <v>DIN</v>
      </c>
      <c r="F44" s="82">
        <f ca="1">IFERROR(
  VLOOKUP(A44, '1C'!C:S, 17, 0),)</f>
        <v>9</v>
      </c>
      <c r="G44" s="83" t="str">
        <f ca="1">IFERROR(
  VLOOKUP(A44, '1C'!C:V, 20, 0),)</f>
        <v>5-630А, Stycznik</v>
      </c>
      <c r="H44" s="81" t="str">
        <f ca="1">IFERROR(
  VLOOKUP(A44, '1C'!C:G, 5, 0),)</f>
        <v>NTBZ30201</v>
      </c>
      <c r="I44" s="90">
        <f ca="1">IFERROR( VLOOKUP(A44, '1C'!C:I, 7, 0),)</f>
        <v>0</v>
      </c>
      <c r="J44" s="91" t="str">
        <f ca="1">IFERROR(
  VLOOKUP(A44, '1C'!C:H, 6, 0),)</f>
        <v>8536 90 95 00</v>
      </c>
      <c r="K44" s="86"/>
      <c r="L44" s="92"/>
    </row>
    <row r="45" spans="1:12" ht="26.4">
      <c r="A45" s="93" t="str">
        <f ca="1">IFERROR(__xludf.DUMMYFUNCTION("iferror(IFERROR(
HYPERLINK(
  VLOOKUP(
    INDEX(UNIQUE(FLATTEN({'1C'!$X$2:X200,'1C'!$C$2:C200})), ROW(A43)), 
    '1C'!C:O, 13, 0),
  INDEX(UNIQUE(FLATTEN({'1C'!$X$2:X200,'1C'!$C$2:C200})), ROW(A43))),
MATCH(INDEX(UNIQUE(FLATTEN({'1C'!$X$2:X200,'1C'!$C$2"&amp;":C200})), ROW(A43)), L$3:L200, 0)
),)"),"UBZ-302-02")</f>
        <v>UBZ-302-02</v>
      </c>
      <c r="B45" s="111">
        <f ca="1">IFERROR(
  VLOOKUP(A45, '1C'!C:F, 4, 0),)</f>
        <v>640</v>
      </c>
      <c r="C45" s="111">
        <f ca="1">IFERROR(
  VLOOKUP(A45, '1C'!C:AA, 25, 0),)</f>
        <v>650</v>
      </c>
      <c r="D45" s="80" t="str">
        <f ca="1">IFERROR(
  VLOOKUP(A45, '1C'!C:L, 10, 0),)</f>
        <v>Ochrona przed prądem, napięciem, przeciążeniem, przegrzaniem silnika małej mocy od 0,25 kW do 3,3 kW, wbudowany T/S, ModBus</v>
      </c>
      <c r="E45" s="81" t="str">
        <f ca="1">IFERROR(
  VLOOKUP(A45, '1C'!C:R, 16, 0),)</f>
        <v>DIN</v>
      </c>
      <c r="F45" s="82">
        <f ca="1">IFERROR(
  VLOOKUP(A45, '1C'!C:S, 17, 0),)</f>
        <v>9</v>
      </c>
      <c r="G45" s="83" t="str">
        <f ca="1">IFERROR(
  VLOOKUP(A45, '1C'!C:V, 20, 0),)</f>
        <v>0,25kW-3,3kW, Stycznik</v>
      </c>
      <c r="H45" s="81" t="str">
        <f ca="1">IFERROR(
  VLOOKUP(A45, '1C'!C:G, 5, 0),)</f>
        <v>NTBZ30202</v>
      </c>
      <c r="I45" s="90">
        <f ca="1">IFERROR( VLOOKUP(A45, '1C'!C:I, 7, 0),)</f>
        <v>0</v>
      </c>
      <c r="J45" s="91" t="str">
        <f ca="1">IFERROR(
  VLOOKUP(A45, '1C'!C:H, 6, 0),)</f>
        <v>8536 90 95 00</v>
      </c>
      <c r="K45" s="86"/>
      <c r="L45" s="92"/>
    </row>
    <row r="46" spans="1:12" ht="26.4">
      <c r="A46" s="88" t="str">
        <f ca="1">IFERROR(__xludf.DUMMYFUNCTION("iferror(IFERROR(
HYPERLINK(
  VLOOKUP(
    INDEX(UNIQUE(FLATTEN({'1C'!$X$2:X200,'1C'!$C$2:C200})), ROW(A44)), 
    '1C'!C:O, 13, 0),
  INDEX(UNIQUE(FLATTEN({'1C'!$X$2:X200,'1C'!$C$2:C200})), ROW(A44))),
MATCH(INDEX(UNIQUE(FLATTEN({'1C'!$X$2:X200,'1C'!$C$2"&amp;":C200})), ROW(A44)), L$3:L200, 0)
),)"),"UBZ-305m")</f>
        <v>UBZ-305m</v>
      </c>
      <c r="B46" s="111">
        <f ca="1">IFERROR(
  VLOOKUP(A46, '1C'!C:F, 4, 0),)</f>
        <v>805</v>
      </c>
      <c r="C46" s="111">
        <f ca="1">IFERROR(
  VLOOKUP(A46, '1C'!C:AA, 25, 0),)</f>
        <v>820</v>
      </c>
      <c r="D46" s="80" t="str">
        <f ca="1">IFERROR(
  VLOOKUP(A46, '1C'!C:L, 10, 0),)</f>
        <v>Prąd znamionowy do 315 kW, bez T/S, moto-zegar i licznik energii elektrycznej, ekran LCD, szyna DIN, ModBus</v>
      </c>
      <c r="E46" s="81" t="str">
        <f ca="1">IFERROR(
  VLOOKUP(A46, '1C'!C:R, 16, 0),)</f>
        <v>DIN</v>
      </c>
      <c r="F46" s="82">
        <f ca="1">IFERROR(
  VLOOKUP(A46, '1C'!C:S, 17, 0),)</f>
        <v>9</v>
      </c>
      <c r="G46" s="83" t="str">
        <f ca="1">IFERROR(
  VLOOKUP(A46, '1C'!C:V, 20, 0),)</f>
        <v>5-630А, Stycznik</v>
      </c>
      <c r="H46" s="81" t="str">
        <f ca="1">IFERROR(
  VLOOKUP(A46, '1C'!C:G, 5, 0),)</f>
        <v>NTBZ305M0</v>
      </c>
      <c r="I46" s="90">
        <f ca="1">IFERROR( VLOOKUP(A46, '1C'!C:I, 7, 0),)</f>
        <v>0</v>
      </c>
      <c r="J46" s="91" t="str">
        <f ca="1">IFERROR(
  VLOOKUP(A46, '1C'!C:H, 6, 0),)</f>
        <v>8536 90 95 00</v>
      </c>
      <c r="K46" s="86"/>
      <c r="L46" s="92"/>
    </row>
    <row r="47" spans="1:12" ht="26.4">
      <c r="A47" s="88" t="str">
        <f ca="1">IFERROR(__xludf.DUMMYFUNCTION("iferror(IFERROR(
HYPERLINK(
  VLOOKUP(
    INDEX(UNIQUE(FLATTEN({'1C'!$X$2:X200,'1C'!$C$2:C200})), ROW(A45)), 
    '1C'!C:O, 13, 0),
  INDEX(UNIQUE(FLATTEN({'1C'!$X$2:X200,'1C'!$C$2:C200})), ROW(A45))),
MATCH(INDEX(UNIQUE(FLATTEN({'1C'!$X$2:X200,'1C'!$C$2"&amp;":C200})), ROW(A45)), L$3:L200, 0)
),)"),"UBZ-304")</f>
        <v>UBZ-304</v>
      </c>
      <c r="B47" s="111">
        <f ca="1">IFERROR(
  VLOOKUP(A47, '1C'!C:F, 4, 0),)</f>
        <v>820</v>
      </c>
      <c r="C47" s="111">
        <f ca="1">IFERROR(
  VLOOKUP(A47, '1C'!C:AA, 25, 0),)</f>
        <v>840</v>
      </c>
      <c r="D47" s="80" t="str">
        <f ca="1">IFERROR(
  VLOOKUP(A47, '1C'!C:L, 10, 0),)</f>
        <v>Prąd znamionowy do 315 kW, bez T/S, moto-zegar i licznik energii elektrycznej, ekran LCD, wersja panelowa, ModBus</v>
      </c>
      <c r="E47" s="81" t="str">
        <f ca="1">IFERROR(
  VLOOKUP(A47, '1C'!C:R, 16, 0),)</f>
        <v>DIN</v>
      </c>
      <c r="F47" s="82" t="str">
        <f ca="1">IFERROR(
  VLOOKUP(A47, '1C'!C:S, 17, 0),)</f>
        <v>-</v>
      </c>
      <c r="G47" s="83" t="str">
        <f ca="1">IFERROR(
  VLOOKUP(A47, '1C'!C:V, 20, 0),)</f>
        <v>5-630А, Stycznik</v>
      </c>
      <c r="H47" s="81" t="str">
        <f ca="1">IFERROR(
  VLOOKUP(A47, '1C'!C:G, 5, 0),)</f>
        <v>NTBZ30400</v>
      </c>
      <c r="I47" s="90">
        <f ca="1">IFERROR( VLOOKUP(A47, '1C'!C:I, 7, 0),)</f>
        <v>0</v>
      </c>
      <c r="J47" s="91" t="str">
        <f ca="1">IFERROR(
  VLOOKUP(A47, '1C'!C:H, 6, 0),)</f>
        <v>8536 90 95 00</v>
      </c>
      <c r="K47" s="86"/>
      <c r="L47" s="92"/>
    </row>
    <row r="48" spans="1:12" ht="14.4">
      <c r="A48" s="93" t="str">
        <f ca="1">IFERROR(__xludf.DUMMYFUNCTION("iferror(IFERROR(
HYPERLINK(
  VLOOKUP(
    INDEX(UNIQUE(FLATTEN({'1C'!$X$2:X200,'1C'!$C$2:C200})), ROW(A46)), 
    '1C'!C:O, 13, 0),
  INDEX(UNIQUE(FLATTEN({'1C'!$X$2:X200,'1C'!$C$2:C200})), ROW(A46))),
MATCH(INDEX(UNIQUE(FLATTEN({'1C'!$X$2:X200,'1C'!$C$2"&amp;":C200})), ROW(A46)), L$3:L200, 0)
),)"),"UBZ-306M")</f>
        <v>UBZ-306M</v>
      </c>
      <c r="B48" s="111">
        <f ca="1">IFERROR(
  VLOOKUP(A48, '1C'!C:F, 4, 0),)</f>
        <v>805</v>
      </c>
      <c r="C48" s="111">
        <f ca="1">IFERROR(
  VLOOKUP(A48, '1C'!C:AA, 25, 0),)</f>
        <v>820</v>
      </c>
      <c r="D48" s="80" t="str">
        <f ca="1">IFERROR(
  VLOOKUP(A48, '1C'!C:L, 10, 0),)</f>
        <v>Nominalny prąd do 315 kW, bez T/C, do maszyny - huśtawka z ekranem, szyna DIN, ModBus</v>
      </c>
      <c r="E48" s="81" t="str">
        <f ca="1">IFERROR(
  VLOOKUP(A48, '1C'!C:R, 16, 0),)</f>
        <v>DIN</v>
      </c>
      <c r="F48" s="82">
        <f ca="1">IFERROR(
  VLOOKUP(A48, '1C'!C:S, 17, 0),)</f>
        <v>9</v>
      </c>
      <c r="G48" s="83" t="str">
        <f ca="1">IFERROR(
  VLOOKUP(A48, '1C'!C:V, 20, 0),)</f>
        <v>5-630А, Contactor</v>
      </c>
      <c r="H48" s="81" t="str">
        <f ca="1">IFERROR(
  VLOOKUP(A48, '1C'!C:G, 5, 0),)</f>
        <v>NTBZ30600</v>
      </c>
      <c r="I48" s="90">
        <f ca="1">IFERROR( VLOOKUP(A48, '1C'!C:I, 7, 0),)</f>
        <v>0</v>
      </c>
      <c r="J48" s="91" t="str">
        <f ca="1">IFERROR(
  VLOOKUP(A48, '1C'!C:H, 6, 0),)</f>
        <v>8536 90 95 00</v>
      </c>
      <c r="K48" s="86"/>
      <c r="L48" s="92"/>
    </row>
    <row r="49" spans="1:12" ht="14.4">
      <c r="A49" s="93" t="str">
        <f ca="1">IFERROR(__xludf.DUMMYFUNCTION("iferror(IFERROR(
HYPERLINK(
  VLOOKUP(
    INDEX(UNIQUE(FLATTEN({'1C'!$X$2:X200,'1C'!$C$2:C200})), ROW(A47)), 
    '1C'!C:O, 13, 0),
  INDEX(UNIQUE(FLATTEN({'1C'!$X$2:X200,'1C'!$C$2:C200})), ROW(A47))),
MATCH(INDEX(UNIQUE(FLATTEN({'1C'!$X$2:X200,'1C'!$C$2"&amp;":C200})), ROW(A47)), L$3:L200, 0)
),)"),"UBZ-115")</f>
        <v>UBZ-115</v>
      </c>
      <c r="B49" s="111">
        <f ca="1">IFERROR(
  VLOOKUP(A49, '1C'!C:F, 4, 0),)</f>
        <v>310</v>
      </c>
      <c r="C49" s="111">
        <f ca="1">IFERROR(
  VLOOKUP(A49, '1C'!C:AA, 25, 0),)</f>
        <v>310</v>
      </c>
      <c r="D49" s="80" t="str">
        <f ca="1">IFERROR(
  VLOOKUP(A49, '1C'!C:L, 10, 0),)</f>
        <v>Ochrona silników jednofazowych</v>
      </c>
      <c r="E49" s="81" t="str">
        <f ca="1">IFERROR(
  VLOOKUP(A49, '1C'!C:R, 16, 0),)</f>
        <v>ściana</v>
      </c>
      <c r="F49" s="82" t="str">
        <f ca="1">IFERROR(
  VLOOKUP(A49, '1C'!C:S, 17, 0),)</f>
        <v>-</v>
      </c>
      <c r="G49" s="83" t="str">
        <f ca="1">IFERROR(
  VLOOKUP(A49, '1C'!C:V, 20, 0),)</f>
        <v>25А</v>
      </c>
      <c r="H49" s="81" t="str">
        <f ca="1">IFERROR(
  VLOOKUP(A49, '1C'!C:G, 5, 0),)</f>
        <v>NTBZ11500</v>
      </c>
      <c r="I49" s="90" t="str">
        <f ca="1">IFERROR( VLOOKUP(A49, '1C'!C:I, 7, 0),)</f>
        <v>-</v>
      </c>
      <c r="J49" s="91" t="str">
        <f ca="1">IFERROR(
  VLOOKUP(A49, '1C'!C:H, 6, 0),)</f>
        <v>8536 90 95 00</v>
      </c>
      <c r="K49" s="86"/>
      <c r="L49" s="92"/>
    </row>
    <row r="50" spans="1:12" ht="14.4">
      <c r="A50" s="93" t="str">
        <f ca="1">IFERROR(__xludf.DUMMYFUNCTION("iferror(IFERROR(
HYPERLINK(
  VLOOKUP(
    INDEX(UNIQUE(FLATTEN({'1C'!$X$2:X200,'1C'!$C$2:C200})), ROW(A48)), 
    '1C'!C:O, 13, 0),
  INDEX(UNIQUE(FLATTEN({'1C'!$X$2:X200,'1C'!$C$2:C200})), ROW(A48))),
MATCH(INDEX(UNIQUE(FLATTEN({'1C'!$X$2:X200,'1C'!$C$2"&amp;":C200})), ROW(A48)), L$3:L200, 0)
),)"),"Ograniczniki mocy")</f>
        <v>Ograniczniki mocy</v>
      </c>
      <c r="B50" s="111">
        <f ca="1">IFERROR(
  VLOOKUP(A50, '1C'!C:F, 4, 0),)</f>
        <v>0</v>
      </c>
      <c r="C50" s="111">
        <f ca="1">IFERROR(
  VLOOKUP(A50, '1C'!C:AA, 25, 0),)</f>
        <v>0</v>
      </c>
      <c r="D50" s="80">
        <f ca="1">IFERROR(
  VLOOKUP(A50, '1C'!C:L, 10, 0),)</f>
        <v>0</v>
      </c>
      <c r="E50" s="81">
        <f ca="1">IFERROR(
  VLOOKUP(A50, '1C'!C:R, 16, 0),)</f>
        <v>0</v>
      </c>
      <c r="F50" s="82">
        <f ca="1">IFERROR(
  VLOOKUP(A50, '1C'!C:S, 17, 0),)</f>
        <v>0</v>
      </c>
      <c r="G50" s="83">
        <f ca="1">IFERROR(
  VLOOKUP(A50, '1C'!C:V, 20, 0),)</f>
        <v>0</v>
      </c>
      <c r="H50" s="81">
        <f ca="1">IFERROR(
  VLOOKUP(A50, '1C'!C:G, 5, 0),)</f>
        <v>0</v>
      </c>
      <c r="I50" s="90">
        <f ca="1">IFERROR( VLOOKUP(A50, '1C'!C:I, 7, 0),)</f>
        <v>0</v>
      </c>
      <c r="J50" s="91">
        <f ca="1">IFERROR(
  VLOOKUP(A50, '1C'!C:H, 6, 0),)</f>
        <v>0</v>
      </c>
      <c r="K50" s="86"/>
      <c r="L50" s="92"/>
    </row>
    <row r="51" spans="1:12" ht="14.4">
      <c r="A51" s="88" t="str">
        <f ca="1">IFERROR(__xludf.DUMMYFUNCTION("iferror(IFERROR(
HYPERLINK(
  VLOOKUP(
    INDEX(UNIQUE(FLATTEN({'1C'!$X$2:X200,'1C'!$C$2:C200})), ROW(A49)), 
    '1C'!C:O, 13, 0),
  INDEX(UNIQUE(FLATTEN({'1C'!$X$2:X200,'1C'!$C$2:C200})), ROW(A49))),
MATCH(INDEX(UNIQUE(FLATTEN({'1C'!$X$2:X200,'1C'!$C$2"&amp;":C200})), ROW(A49)), L$3:L200, 0)
),)"),"OM-121")</f>
        <v>OM-121</v>
      </c>
      <c r="B51" s="111">
        <f ca="1">IFERROR(
  VLOOKUP(A51, '1C'!C:F, 4, 0),)</f>
        <v>220</v>
      </c>
      <c r="C51" s="111">
        <f ca="1">IFERROR(
  VLOOKUP(A51, '1C'!C:AA, 25, 0),)</f>
        <v>220</v>
      </c>
      <c r="D51" s="80" t="str">
        <f ca="1">IFERROR(
  VLOOKUP(A51, '1C'!C:L, 10, 0),)</f>
        <v>Ogranicznik mocy jednofazowy, ModBus</v>
      </c>
      <c r="E51" s="81" t="str">
        <f ca="1">IFERROR(
  VLOOKUP(A51, '1C'!C:R, 16, 0),)</f>
        <v>DIN</v>
      </c>
      <c r="F51" s="82">
        <f ca="1">IFERROR(
  VLOOKUP(A51, '1C'!C:S, 17, 0),)</f>
        <v>3</v>
      </c>
      <c r="G51" s="83" t="str">
        <f ca="1">IFERROR(
  VLOOKUP(A51, '1C'!C:V, 20, 0),)</f>
        <v>14kW</v>
      </c>
      <c r="H51" s="81" t="str">
        <f ca="1">IFERROR(
  VLOOKUP(A51, '1C'!C:G, 5, 0),)</f>
        <v>NTOM12100</v>
      </c>
      <c r="I51" s="90">
        <f ca="1">IFERROR( VLOOKUP(A51, '1C'!C:I, 7, 0),)</f>
        <v>0</v>
      </c>
      <c r="J51" s="91" t="str">
        <f ca="1">IFERROR(
  VLOOKUP(A51, '1C'!C:H, 6, 0),)</f>
        <v>8536 49 00 90</v>
      </c>
      <c r="K51" s="86"/>
      <c r="L51" s="92"/>
    </row>
    <row r="52" spans="1:12" ht="14.4">
      <c r="A52" s="88" t="str">
        <f ca="1">IFERROR(__xludf.DUMMYFUNCTION("iferror(IFERROR(
HYPERLINK(
  VLOOKUP(
    INDEX(UNIQUE(FLATTEN({'1C'!$X$2:X200,'1C'!$C$2:C200})), ROW(A50)), 
    '1C'!C:O, 13, 0),
  INDEX(UNIQUE(FLATTEN({'1C'!$X$2:X200,'1C'!$C$2:C200})), ROW(A50))),
MATCH(INDEX(UNIQUE(FLATTEN({'1C'!$X$2:X200,'1C'!$C$2"&amp;":C200})), ROW(A50)), L$3:L200, 0)
),)"),"OM-163")</f>
        <v>OM-163</v>
      </c>
      <c r="B52" s="111">
        <f ca="1">IFERROR(
  VLOOKUP(A52, '1C'!C:F, 4, 0),)</f>
        <v>150</v>
      </c>
      <c r="C52" s="111">
        <f ca="1">IFERROR(
  VLOOKUP(A52, '1C'!C:AA, 25, 0),)</f>
        <v>150</v>
      </c>
      <c r="D52" s="80" t="str">
        <f ca="1">IFERROR(
  VLOOKUP(A52, '1C'!C:L, 10, 0),)</f>
        <v>Ogranicznik mocy jednofazowy + przekaźnik napięciowy</v>
      </c>
      <c r="E52" s="81" t="str">
        <f ca="1">IFERROR(
  VLOOKUP(A52, '1C'!C:R, 16, 0),)</f>
        <v>DIN</v>
      </c>
      <c r="F52" s="82">
        <f ca="1">IFERROR(
  VLOOKUP(A52, '1C'!C:S, 17, 0),)</f>
        <v>3</v>
      </c>
      <c r="G52" s="83" t="str">
        <f ca="1">IFERROR(
  VLOOKUP(A52, '1C'!C:V, 20, 0),)</f>
        <v>63А</v>
      </c>
      <c r="H52" s="81" t="str">
        <f ca="1">IFERROR(
  VLOOKUP(A52, '1C'!C:G, 5, 0),)</f>
        <v>NTOM16300</v>
      </c>
      <c r="I52" s="90">
        <f ca="1">IFERROR( VLOOKUP(A52, '1C'!C:I, 7, 0),)</f>
        <v>0</v>
      </c>
      <c r="J52" s="91" t="str">
        <f ca="1">IFERROR(
  VLOOKUP(A52, '1C'!C:H, 6, 0),)</f>
        <v>8536 49 00 90</v>
      </c>
      <c r="K52" s="86"/>
      <c r="L52" s="92"/>
    </row>
    <row r="53" spans="1:12" ht="14.4">
      <c r="A53" s="88" t="str">
        <f ca="1">IFERROR(__xludf.DUMMYFUNCTION("iferror(IFERROR(
HYPERLINK(
  VLOOKUP(
    INDEX(UNIQUE(FLATTEN({'1C'!$X$2:X200,'1C'!$C$2:C200})), ROW(A51)), 
    '1C'!C:O, 13, 0),
  INDEX(UNIQUE(FLATTEN({'1C'!$X$2:X200,'1C'!$C$2:C200})), ROW(A51))),
MATCH(INDEX(UNIQUE(FLATTEN({'1C'!$X$2:X200,'1C'!$C$2"&amp;":C200})), ROW(A51)), L$3:L200, 0)
),)"),"OM-110")</f>
        <v>OM-110</v>
      </c>
      <c r="B53" s="111">
        <f ca="1">IFERROR(
  VLOOKUP(A53, '1C'!C:F, 4, 0),)</f>
        <v>195</v>
      </c>
      <c r="C53" s="111">
        <f ca="1">IFERROR(
  VLOOKUP(A53, '1C'!C:AA, 25, 0),)</f>
        <v>200</v>
      </c>
      <c r="D53" s="80" t="str">
        <f ca="1">IFERROR(
  VLOOKUP(A53, '1C'!C:L, 10, 0),)</f>
        <v>Ogranicznik mocy jednofazowy do 20 kW, 2 grupy obciążeń</v>
      </c>
      <c r="E53" s="81" t="str">
        <f ca="1">IFERROR(
  VLOOKUP(A53, '1C'!C:R, 16, 0),)</f>
        <v>DIN</v>
      </c>
      <c r="F53" s="82">
        <f ca="1">IFERROR(
  VLOOKUP(A53, '1C'!C:S, 17, 0),)</f>
        <v>3</v>
      </c>
      <c r="G53" s="83" t="str">
        <f ca="1">IFERROR(
  VLOOKUP(A53, '1C'!C:V, 20, 0),)</f>
        <v>20kW</v>
      </c>
      <c r="H53" s="81" t="str">
        <f ca="1">IFERROR(
  VLOOKUP(A53, '1C'!C:G, 5, 0),)</f>
        <v>NTOM11000</v>
      </c>
      <c r="I53" s="90">
        <f ca="1">IFERROR( VLOOKUP(A53, '1C'!C:I, 7, 0),)</f>
        <v>0</v>
      </c>
      <c r="J53" s="91" t="str">
        <f ca="1">IFERROR(
  VLOOKUP(A53, '1C'!C:H, 6, 0),)</f>
        <v>8536 49 00 90</v>
      </c>
      <c r="K53" s="86"/>
      <c r="L53" s="92"/>
    </row>
    <row r="54" spans="1:12" ht="26.4">
      <c r="A54" s="88" t="str">
        <f ca="1">IFERROR(__xludf.DUMMYFUNCTION("iferror(IFERROR(
HYPERLINK(
  VLOOKUP(
    INDEX(UNIQUE(FLATTEN({'1C'!$X$2:X200,'1C'!$C$2:C200})), ROW(A52)), 
    '1C'!C:O, 13, 0),
  INDEX(UNIQUE(FLATTEN({'1C'!$X$2:X200,'1C'!$C$2:C200})), ROW(A52))),
MATCH(INDEX(UNIQUE(FLATTEN({'1C'!$X$2:X200,'1C'!$C$2"&amp;":C200})), ROW(A52)), L$3:L200, 0)
),)"),"OM-310")</f>
        <v>OM-310</v>
      </c>
      <c r="B54" s="111">
        <f ca="1">IFERROR(
  VLOOKUP(A54, '1C'!C:F, 4, 0),)</f>
        <v>685</v>
      </c>
      <c r="C54" s="111">
        <f ca="1">IFERROR(
  VLOOKUP(A54, '1C'!C:AA, 25, 0),)</f>
        <v>685</v>
      </c>
      <c r="D54" s="80" t="str">
        <f ca="1">IFERROR(
  VLOOKUP(A54, '1C'!C:L, 10, 0),)</f>
        <v>Ogranicznik mocy trójfazowy, wbudowany T/C 2,5-30 kW lub zewnętrzny do 315 kW, 2 grupy obciążeń, ModBus, funkcja monitorowania parametrów</v>
      </c>
      <c r="E54" s="81" t="str">
        <f ca="1">IFERROR(
  VLOOKUP(A54, '1C'!C:R, 16, 0),)</f>
        <v>DIN</v>
      </c>
      <c r="F54" s="82">
        <f ca="1">IFERROR(
  VLOOKUP(A54, '1C'!C:S, 17, 0),)</f>
        <v>9</v>
      </c>
      <c r="G54" s="83" t="str">
        <f ca="1">IFERROR(
  VLOOKUP(A54, '1C'!C:V, 20, 0),)</f>
        <v>30kW-450kW</v>
      </c>
      <c r="H54" s="81" t="str">
        <f ca="1">IFERROR(
  VLOOKUP(A54, '1C'!C:G, 5, 0),)</f>
        <v>NTOM31000</v>
      </c>
      <c r="I54" s="90">
        <f ca="1">IFERROR( VLOOKUP(A54, '1C'!C:I, 7, 0),)</f>
        <v>0</v>
      </c>
      <c r="J54" s="91" t="str">
        <f ca="1">IFERROR(
  VLOOKUP(A54, '1C'!C:H, 6, 0),)</f>
        <v>8536 49 00 90</v>
      </c>
      <c r="K54" s="86"/>
      <c r="L54" s="92"/>
    </row>
    <row r="55" spans="1:12" ht="14.4">
      <c r="A55" s="93" t="str">
        <f ca="1">IFERROR(__xludf.DUMMYFUNCTION("iferror(IFERROR(
HYPERLINK(
  VLOOKUP(
    INDEX(UNIQUE(FLATTEN({'1C'!$X$2:X200,'1C'!$C$2:C200})), ROW(A53)), 
    '1C'!C:O, 13, 0),
  INDEX(UNIQUE(FLATTEN({'1C'!$X$2:X200,'1C'!$C$2:C200})), ROW(A53))),
MATCH(INDEX(UNIQUE(FLATTEN({'1C'!$X$2:X200,'1C'!$C$2"&amp;":C200})), ROW(A53)), L$3:L200, 0)
),)"),"Ograniczniki prądu")</f>
        <v>Ograniczniki prądu</v>
      </c>
      <c r="B55" s="111">
        <f ca="1">IFERROR(
  VLOOKUP(A55, '1C'!C:F, 4, 0),)</f>
        <v>0</v>
      </c>
      <c r="C55" s="111">
        <f ca="1">IFERROR(
  VLOOKUP(A55, '1C'!C:AA, 25, 0),)</f>
        <v>0</v>
      </c>
      <c r="D55" s="80">
        <f ca="1">IFERROR(
  VLOOKUP(A55, '1C'!C:L, 10, 0),)</f>
        <v>0</v>
      </c>
      <c r="E55" s="81">
        <f ca="1">IFERROR(
  VLOOKUP(A55, '1C'!C:R, 16, 0),)</f>
        <v>0</v>
      </c>
      <c r="F55" s="82">
        <f ca="1">IFERROR(
  VLOOKUP(A55, '1C'!C:S, 17, 0),)</f>
        <v>0</v>
      </c>
      <c r="G55" s="83">
        <f ca="1">IFERROR(
  VLOOKUP(A55, '1C'!C:V, 20, 0),)</f>
        <v>0</v>
      </c>
      <c r="H55" s="81">
        <f ca="1">IFERROR(
  VLOOKUP(A55, '1C'!C:G, 5, 0),)</f>
        <v>0</v>
      </c>
      <c r="I55" s="90">
        <f ca="1">IFERROR( VLOOKUP(A55, '1C'!C:I, 7, 0),)</f>
        <v>0</v>
      </c>
      <c r="J55" s="91">
        <f ca="1">IFERROR(
  VLOOKUP(A55, '1C'!C:H, 6, 0),)</f>
        <v>0</v>
      </c>
      <c r="K55" s="86"/>
      <c r="L55" s="92"/>
    </row>
    <row r="56" spans="1:12" ht="14.4">
      <c r="A56" s="88" t="str">
        <f ca="1">IFERROR(__xludf.DUMMYFUNCTION("iferror(IFERROR(
HYPERLINK(
  VLOOKUP(
    INDEX(UNIQUE(FLATTEN({'1C'!$X$2:X200,'1C'!$C$2:C200})), ROW(A54)), 
    '1C'!C:O, 13, 0),
  INDEX(UNIQUE(FLATTEN({'1C'!$X$2:X200,'1C'!$C$2:C200})), ROW(A54))),
MATCH(INDEX(UNIQUE(FLATTEN({'1C'!$X$2:X200,'1C'!$C$2"&amp;":C200})), ROW(A54)), L$3:L200, 0)
),)"),"RMT-101")</f>
        <v>RMT-101</v>
      </c>
      <c r="B56" s="111">
        <f ca="1">IFERROR(
  VLOOKUP(A56, '1C'!C:F, 4, 0),)</f>
        <v>225</v>
      </c>
      <c r="C56" s="111">
        <f ca="1">IFERROR(
  VLOOKUP(A56, '1C'!C:AA, 25, 0),)</f>
        <v>225</v>
      </c>
      <c r="D56" s="80" t="str">
        <f ca="1">IFERROR(
  VLOOKUP(A56, '1C'!C:L, 10, 0),)</f>
        <v>Przekaźnik maksymalnego prądu jest jednofazowy</v>
      </c>
      <c r="E56" s="81" t="str">
        <f ca="1">IFERROR(
  VLOOKUP(A56, '1C'!C:R, 16, 0),)</f>
        <v>DIN</v>
      </c>
      <c r="F56" s="82">
        <f ca="1">IFERROR(
  VLOOKUP(A56, '1C'!C:S, 17, 0),)</f>
        <v>3</v>
      </c>
      <c r="G56" s="83" t="str">
        <f ca="1">IFERROR(
  VLOOKUP(A56, '1C'!C:V, 20, 0),)</f>
        <v>100А, Stycznik</v>
      </c>
      <c r="H56" s="81" t="str">
        <f ca="1">IFERROR(
  VLOOKUP(A56, '1C'!C:G, 5, 0),)</f>
        <v>NTRMT1010</v>
      </c>
      <c r="I56" s="90">
        <f ca="1">IFERROR( VLOOKUP(A56, '1C'!C:I, 7, 0),)</f>
        <v>4820122950511</v>
      </c>
      <c r="J56" s="91" t="str">
        <f ca="1">IFERROR(
  VLOOKUP(A56, '1C'!C:H, 6, 0),)</f>
        <v>8536 49 00 90</v>
      </c>
      <c r="K56" s="86"/>
      <c r="L56" s="92"/>
    </row>
    <row r="57" spans="1:12" ht="14.4">
      <c r="A57" s="88" t="str">
        <f ca="1">IFERROR(__xludf.DUMMYFUNCTION("iferror(IFERROR(
HYPERLINK(
  VLOOKUP(
    INDEX(UNIQUE(FLATTEN({'1C'!$X$2:X200,'1C'!$C$2:C200})), ROW(A55)), 
    '1C'!C:O, 13, 0),
  INDEX(UNIQUE(FLATTEN({'1C'!$X$2:X200,'1C'!$C$2:C200})), ROW(A55))),
MATCH(INDEX(UNIQUE(FLATTEN({'1C'!$X$2:X200,'1C'!$C$2"&amp;":C200})), ROW(A55)), L$3:L200, 0)
),)"),"RMT-104")</f>
        <v>RMT-104</v>
      </c>
      <c r="B57" s="111">
        <f ca="1">IFERROR(
  VLOOKUP(A57, '1C'!C:F, 4, 0),)</f>
        <v>270</v>
      </c>
      <c r="C57" s="111">
        <f ca="1">IFERROR(
  VLOOKUP(A57, '1C'!C:AA, 25, 0),)</f>
        <v>275</v>
      </c>
      <c r="D57" s="80" t="str">
        <f ca="1">IFERROR(
  VLOOKUP(A57, '1C'!C:L, 10, 0),)</f>
        <v>Przekaźnik maksymalnego prądu jest jednofazowy</v>
      </c>
      <c r="E57" s="81" t="str">
        <f ca="1">IFERROR(
  VLOOKUP(A57, '1C'!C:R, 16, 0),)</f>
        <v>ściana</v>
      </c>
      <c r="F57" s="82" t="str">
        <f ca="1">IFERROR(
  VLOOKUP(A57, '1C'!C:S, 17, 0),)</f>
        <v>-</v>
      </c>
      <c r="G57" s="83" t="str">
        <f ca="1">IFERROR(
  VLOOKUP(A57, '1C'!C:V, 20, 0),)</f>
        <v>400А, Stycznik</v>
      </c>
      <c r="H57" s="81" t="str">
        <f ca="1">IFERROR(
  VLOOKUP(A57, '1C'!C:G, 5, 0),)</f>
        <v>NTRMT1040</v>
      </c>
      <c r="I57" s="90">
        <f ca="1">IFERROR( VLOOKUP(A57, '1C'!C:I, 7, 0),)</f>
        <v>0</v>
      </c>
      <c r="J57" s="91" t="str">
        <f ca="1">IFERROR(
  VLOOKUP(A57, '1C'!C:H, 6, 0),)</f>
        <v>8536 49 00 90</v>
      </c>
      <c r="K57" s="86"/>
      <c r="L57" s="92"/>
    </row>
    <row r="58" spans="1:12" ht="14.4">
      <c r="A58" s="93" t="str">
        <f ca="1">IFERROR(__xludf.DUMMYFUNCTION("iferror(IFERROR(
HYPERLINK(
  VLOOKUP(
    INDEX(UNIQUE(FLATTEN({'1C'!$X$2:X200,'1C'!$C$2:C200})), ROW(A56)), 
    '1C'!C:O, 13, 0),
  INDEX(UNIQUE(FLATTEN({'1C'!$X$2:X200,'1C'!$C$2:C200})), ROW(A56))),
MATCH(INDEX(UNIQUE(FLATTEN({'1C'!$X$2:X200,'1C'!$C$2"&amp;":C200})), ROW(A56)), L$3:L200, 0)
),)"),"Regulatory temperatury")</f>
        <v>Regulatory temperatury</v>
      </c>
      <c r="B58" s="111">
        <f ca="1">IFERROR(
  VLOOKUP(A58, '1C'!C:F, 4, 0),)</f>
        <v>0</v>
      </c>
      <c r="C58" s="111">
        <f ca="1">IFERROR(
  VLOOKUP(A58, '1C'!C:AA, 25, 0),)</f>
        <v>0</v>
      </c>
      <c r="D58" s="80">
        <f ca="1">IFERROR(
  VLOOKUP(A58, '1C'!C:L, 10, 0),)</f>
        <v>0</v>
      </c>
      <c r="E58" s="81">
        <f ca="1">IFERROR(
  VLOOKUP(A58, '1C'!C:R, 16, 0),)</f>
        <v>0</v>
      </c>
      <c r="F58" s="82">
        <f ca="1">IFERROR(
  VLOOKUP(A58, '1C'!C:S, 17, 0),)</f>
        <v>0</v>
      </c>
      <c r="G58" s="83">
        <f ca="1">IFERROR(
  VLOOKUP(A58, '1C'!C:V, 20, 0),)</f>
        <v>0</v>
      </c>
      <c r="H58" s="81">
        <f ca="1">IFERROR(
  VLOOKUP(A58, '1C'!C:G, 5, 0),)</f>
        <v>0</v>
      </c>
      <c r="I58" s="90">
        <f ca="1">IFERROR( VLOOKUP(A58, '1C'!C:I, 7, 0),)</f>
        <v>0</v>
      </c>
      <c r="J58" s="91">
        <f ca="1">IFERROR(
  VLOOKUP(A58, '1C'!C:H, 6, 0),)</f>
        <v>0</v>
      </c>
      <c r="K58" s="86"/>
      <c r="L58" s="92"/>
    </row>
    <row r="59" spans="1:12" ht="14.4">
      <c r="A59" s="88" t="str">
        <f ca="1">IFERROR(__xludf.DUMMYFUNCTION("iferror(IFERROR(
HYPERLINK(
  VLOOKUP(
    INDEX(UNIQUE(FLATTEN({'1C'!$X$2:X200,'1C'!$C$2:C200})), ROW(A57)), 
    '1C'!C:O, 13, 0),
  INDEX(UNIQUE(FLATTEN({'1C'!$X$2:X200,'1C'!$C$2:C200})), ROW(A57))),
MATCH(INDEX(UNIQUE(FLATTEN({'1C'!$X$2:X200,'1C'!$C$2"&amp;":C200})), ROW(A57)), L$3:L200, 0)
),)"),"MCK-102-14")</f>
        <v>MCK-102-14</v>
      </c>
      <c r="B59" s="111">
        <f ca="1">IFERROR(
  VLOOKUP(A59, '1C'!C:F, 4, 0),)</f>
        <v>105</v>
      </c>
      <c r="C59" s="111">
        <f ca="1">IFERROR(
  VLOOKUP(A59, '1C'!C:AA, 25, 0),)</f>
        <v>105</v>
      </c>
      <c r="D59" s="80" t="str">
        <f ca="1">IFERROR(
  VLOOKUP(A59, '1C'!C:L, 10, 0),)</f>
        <v>Sterowanie mroźniami, ladami chłodniczymi, wykonaniem paneli</v>
      </c>
      <c r="E59" s="81" t="str">
        <f ca="1">IFERROR(
  VLOOKUP(A59, '1C'!C:R, 16, 0),)</f>
        <v>panel</v>
      </c>
      <c r="F59" s="82" t="str">
        <f ca="1">IFERROR(
  VLOOKUP(A59, '1C'!C:S, 17, 0),)</f>
        <v>-</v>
      </c>
      <c r="G59" s="83" t="str">
        <f ca="1">IFERROR(
  VLOOKUP(A59, '1C'!C:V, 20, 0),)</f>
        <v>-</v>
      </c>
      <c r="H59" s="81" t="str">
        <f ca="1">IFERROR(
  VLOOKUP(A59, '1C'!C:G, 5, 0),)</f>
        <v>NTMK10214</v>
      </c>
      <c r="I59" s="90">
        <f ca="1">IFERROR( VLOOKUP(A59, '1C'!C:I, 7, 0),)</f>
        <v>0</v>
      </c>
      <c r="J59" s="91" t="str">
        <f ca="1">IFERROR(
  VLOOKUP(A59, '1C'!C:H, 6, 0),)</f>
        <v>9032 89 00 00</v>
      </c>
      <c r="K59" s="86"/>
      <c r="L59" s="92"/>
    </row>
    <row r="60" spans="1:12" ht="14.4">
      <c r="A60" s="88" t="str">
        <f ca="1">IFERROR(__xludf.DUMMYFUNCTION("iferror(IFERROR(
HYPERLINK(
  VLOOKUP(
    INDEX(UNIQUE(FLATTEN({'1C'!$X$2:X200,'1C'!$C$2:C200})), ROW(A58)), 
    '1C'!C:O, 13, 0),
  INDEX(UNIQUE(FLATTEN({'1C'!$X$2:X200,'1C'!$C$2:C200})), ROW(A58))),
MATCH(INDEX(UNIQUE(FLATTEN({'1C'!$X$2:X200,'1C'!$C$2"&amp;":C200})), ROW(A58)), L$3:L200, 0)
),)"),"MCK-102-20")</f>
        <v>MCK-102-20</v>
      </c>
      <c r="B60" s="111">
        <f ca="1">IFERROR(
  VLOOKUP(A60, '1C'!C:F, 4, 0),)</f>
        <v>130</v>
      </c>
      <c r="C60" s="111">
        <f ca="1">IFERROR(
  VLOOKUP(A60, '1C'!C:AA, 25, 0),)</f>
        <v>130</v>
      </c>
      <c r="D60" s="80" t="str">
        <f ca="1">IFERROR(
  VLOOKUP(A60, '1C'!C:L, 10, 0),)</f>
        <v>Sterowanie mroźniami, ladami chłodniczymi, wykonaniem paneli</v>
      </c>
      <c r="E60" s="81" t="str">
        <f ca="1">IFERROR(
  VLOOKUP(A60, '1C'!C:R, 16, 0),)</f>
        <v>panel</v>
      </c>
      <c r="F60" s="82" t="str">
        <f ca="1">IFERROR(
  VLOOKUP(A60, '1C'!C:S, 17, 0),)</f>
        <v>-</v>
      </c>
      <c r="G60" s="83" t="str">
        <f ca="1">IFERROR(
  VLOOKUP(A60, '1C'!C:V, 20, 0),)</f>
        <v>-</v>
      </c>
      <c r="H60" s="81" t="str">
        <f ca="1">IFERROR(
  VLOOKUP(A60, '1C'!C:G, 5, 0),)</f>
        <v>NTMK10220</v>
      </c>
      <c r="I60" s="90">
        <f ca="1">IFERROR( VLOOKUP(A60, '1C'!C:I, 7, 0),)</f>
        <v>0</v>
      </c>
      <c r="J60" s="91" t="str">
        <f ca="1">IFERROR(
  VLOOKUP(A60, '1C'!C:H, 6, 0),)</f>
        <v>9032 89 00 00</v>
      </c>
      <c r="K60" s="86"/>
      <c r="L60" s="92"/>
    </row>
    <row r="61" spans="1:12" ht="14.4">
      <c r="A61" s="88" t="str">
        <f ca="1">IFERROR(__xludf.DUMMYFUNCTION("iferror(IFERROR(
HYPERLINK(
  VLOOKUP(
    INDEX(UNIQUE(FLATTEN({'1C'!$X$2:X200,'1C'!$C$2:C200})), ROW(A59)), 
    '1C'!C:O, 13, 0),
  INDEX(UNIQUE(FLATTEN({'1C'!$X$2:X200,'1C'!$C$2:C200})), ROW(A59))),
MATCH(INDEX(UNIQUE(FLATTEN({'1C'!$X$2:X200,'1C'!$C$2"&amp;":C200})), ROW(A59)), L$3:L200, 0)
),)"),"MCK-301-52")</f>
        <v>MCK-301-52</v>
      </c>
      <c r="B61" s="111">
        <f ca="1">IFERROR(
  VLOOKUP(A61, '1C'!C:F, 4, 0),)</f>
        <v>175</v>
      </c>
      <c r="C61" s="111">
        <f ca="1">IFERROR(
  VLOOKUP(A61, '1C'!C:AA, 25, 0),)</f>
        <v>175</v>
      </c>
      <c r="D61" s="80" t="str">
        <f ca="1">IFERROR(
  VLOOKUP(A61, '1C'!C:L, 10, 0),)</f>
        <v>Kontrola procesu przechowywania i dojrzewania owoców w specjalnej komorze</v>
      </c>
      <c r="E61" s="81" t="str">
        <f ca="1">IFERROR(
  VLOOKUP(A61, '1C'!C:R, 16, 0),)</f>
        <v>DIN</v>
      </c>
      <c r="F61" s="82">
        <f ca="1">IFERROR(
  VLOOKUP(A61, '1C'!C:S, 17, 0),)</f>
        <v>4</v>
      </c>
      <c r="G61" s="83" t="str">
        <f ca="1">IFERROR(
  VLOOKUP(A61, '1C'!C:V, 20, 0),)</f>
        <v>-</v>
      </c>
      <c r="H61" s="81" t="str">
        <f ca="1">IFERROR(
  VLOOKUP(A61, '1C'!C:G, 5, 0),)</f>
        <v>NTMK30152</v>
      </c>
      <c r="I61" s="90">
        <f ca="1">IFERROR( VLOOKUP(A61, '1C'!C:I, 7, 0),)</f>
        <v>0</v>
      </c>
      <c r="J61" s="91" t="str">
        <f ca="1">IFERROR(
  VLOOKUP(A61, '1C'!C:H, 6, 0),)</f>
        <v>9032 89 00 00</v>
      </c>
      <c r="K61" s="86"/>
      <c r="L61" s="92"/>
    </row>
    <row r="62" spans="1:12" ht="14.4">
      <c r="A62" s="88" t="str">
        <f ca="1">IFERROR(__xludf.DUMMYFUNCTION("iferror(IFERROR(
HYPERLINK(
  VLOOKUP(
    INDEX(UNIQUE(FLATTEN({'1C'!$X$2:X200,'1C'!$C$2:C200})), ROW(A60)), 
    '1C'!C:O, 13, 0),
  INDEX(UNIQUE(FLATTEN({'1C'!$X$2:X200,'1C'!$C$2:C200})), ROW(A60))),
MATCH(INDEX(UNIQUE(FLATTEN({'1C'!$X$2:X200,'1C'!$C$2"&amp;":C200})), ROW(A60)), L$3:L200, 0)
),)"),"MCK-301-61")</f>
        <v>MCK-301-61</v>
      </c>
      <c r="B62" s="111">
        <f ca="1">IFERROR(
  VLOOKUP(A62, '1C'!C:F, 4, 0),)</f>
        <v>195</v>
      </c>
      <c r="C62" s="111">
        <f ca="1">IFERROR(
  VLOOKUP(A62, '1C'!C:AA, 25, 0),)</f>
        <v>195</v>
      </c>
      <c r="D62" s="80" t="str">
        <f ca="1">IFERROR(
  VLOOKUP(A62, '1C'!C:L, 10, 0),)</f>
        <v>Do sterowania klimatyzatorami wewnętrznymi</v>
      </c>
      <c r="E62" s="81" t="str">
        <f ca="1">IFERROR(
  VLOOKUP(A62, '1C'!C:R, 16, 0),)</f>
        <v>DIN</v>
      </c>
      <c r="F62" s="82">
        <f ca="1">IFERROR(
  VLOOKUP(A62, '1C'!C:S, 17, 0),)</f>
        <v>4</v>
      </c>
      <c r="G62" s="83" t="str">
        <f ca="1">IFERROR(
  VLOOKUP(A62, '1C'!C:V, 20, 0),)</f>
        <v>-</v>
      </c>
      <c r="H62" s="81" t="str">
        <f ca="1">IFERROR(
  VLOOKUP(A62, '1C'!C:G, 5, 0),)</f>
        <v>NTMK30161</v>
      </c>
      <c r="I62" s="90">
        <f ca="1">IFERROR( VLOOKUP(A62, '1C'!C:I, 7, 0),)</f>
        <v>0</v>
      </c>
      <c r="J62" s="91" t="str">
        <f ca="1">IFERROR(
  VLOOKUP(A62, '1C'!C:H, 6, 0),)</f>
        <v>9032 89 00 00</v>
      </c>
      <c r="K62" s="86"/>
      <c r="L62" s="92"/>
    </row>
    <row r="63" spans="1:12" ht="14.4">
      <c r="A63" s="88" t="str">
        <f ca="1">IFERROR(__xludf.DUMMYFUNCTION("iferror(IFERROR(
HYPERLINK(
  VLOOKUP(
    INDEX(UNIQUE(FLATTEN({'1C'!$X$2:X200,'1C'!$C$2:C200})), ROW(A61)), 
    '1C'!C:O, 13, 0),
  INDEX(UNIQUE(FLATTEN({'1C'!$X$2:X200,'1C'!$C$2:C200})), ROW(A61))),
MATCH(INDEX(UNIQUE(FLATTEN({'1C'!$X$2:X200,'1C'!$C$2"&amp;":C200})), ROW(A61)), L$3:L200, 0)
),)"),"MCK-301-87")</f>
        <v>MCK-301-87</v>
      </c>
      <c r="B63" s="111">
        <f ca="1">IFERROR(
  VLOOKUP(A63, '1C'!C:F, 4, 0),)</f>
        <v>200</v>
      </c>
      <c r="C63" s="111">
        <f ca="1">IFERROR(
  VLOOKUP(A63, '1C'!C:AA, 25, 0),)</f>
        <v>200</v>
      </c>
      <c r="D63" s="80" t="str">
        <f ca="1">IFERROR(
  VLOOKUP(A63, '1C'!C:L, 10, 0),)</f>
        <v>Regulator temperatury do zamrażarek i lad</v>
      </c>
      <c r="E63" s="81" t="str">
        <f ca="1">IFERROR(
  VLOOKUP(A63, '1C'!C:R, 16, 0),)</f>
        <v>DIN</v>
      </c>
      <c r="F63" s="82">
        <f ca="1">IFERROR(
  VLOOKUP(A63, '1C'!C:S, 17, 0),)</f>
        <v>4</v>
      </c>
      <c r="G63" s="83" t="str">
        <f ca="1">IFERROR(
  VLOOKUP(A63, '1C'!C:V, 20, 0),)</f>
        <v>-</v>
      </c>
      <c r="H63" s="81" t="str">
        <f ca="1">IFERROR(
  VLOOKUP(A63, '1C'!C:G, 5, 0),)</f>
        <v>NTMK30183</v>
      </c>
      <c r="I63" s="90">
        <f ca="1">IFERROR( VLOOKUP(A63, '1C'!C:I, 7, 0),)</f>
        <v>0</v>
      </c>
      <c r="J63" s="91" t="str">
        <f ca="1">IFERROR(
  VLOOKUP(A63, '1C'!C:H, 6, 0),)</f>
        <v>9032 89 00 00</v>
      </c>
      <c r="K63" s="86"/>
      <c r="L63" s="92"/>
    </row>
    <row r="64" spans="1:12" ht="14.4">
      <c r="A64" s="88" t="str">
        <f ca="1">IFERROR(__xludf.DUMMYFUNCTION("iferror(IFERROR(
HYPERLINK(
  VLOOKUP(
    INDEX(UNIQUE(FLATTEN({'1C'!$X$2:X200,'1C'!$C$2:C200})), ROW(A62)), 
    '1C'!C:O, 13, 0),
  INDEX(UNIQUE(FLATTEN({'1C'!$X$2:X200,'1C'!$C$2:C200})), ROW(A62))),
MATCH(INDEX(UNIQUE(FLATTEN({'1C'!$X$2:X200,'1C'!$C$2"&amp;":C200})), ROW(A62)), L$3:L200, 0)
),)"),"TR-12-1")</f>
        <v>TR-12-1</v>
      </c>
      <c r="B64" s="111">
        <f ca="1">IFERROR(
  VLOOKUP(A64, '1C'!C:F, 4, 0),)</f>
        <v>95</v>
      </c>
      <c r="C64" s="111">
        <f ca="1">IFERROR(
  VLOOKUP(A64, '1C'!C:AA, 25, 0),)</f>
        <v>95</v>
      </c>
      <c r="D64" s="80" t="str">
        <f ca="1">IFERROR(
  VLOOKUP(A64, '1C'!C:L, 10, 0),)</f>
        <v>Regulator temperatury w gnieździe od przekaźnika napięciowego, czujnik od dołu, 10 cm</v>
      </c>
      <c r="E64" s="81" t="str">
        <f ca="1">IFERROR(
  VLOOKUP(A64, '1C'!C:R, 16, 0),)</f>
        <v>gniazdo wtykowe</v>
      </c>
      <c r="F64" s="82" t="str">
        <f ca="1">IFERROR(
  VLOOKUP(A64, '1C'!C:S, 17, 0),)</f>
        <v>-</v>
      </c>
      <c r="G64" s="83" t="str">
        <f ca="1">IFERROR(
  VLOOKUP(A64, '1C'!C:V, 20, 0),)</f>
        <v>16А</v>
      </c>
      <c r="H64" s="81" t="str">
        <f ca="1">IFERROR(
  VLOOKUP(A64, '1C'!C:G, 5, 0),)</f>
        <v>NTTR12001</v>
      </c>
      <c r="I64" s="90">
        <f ca="1">IFERROR( VLOOKUP(A64, '1C'!C:I, 7, 0),)</f>
        <v>4820122950238</v>
      </c>
      <c r="J64" s="91" t="str">
        <f ca="1">IFERROR(
  VLOOKUP(A64, '1C'!C:H, 6, 0),)</f>
        <v>9032 89 00 00</v>
      </c>
      <c r="K64" s="86"/>
      <c r="L64" s="92"/>
    </row>
    <row r="65" spans="1:12" ht="14.4">
      <c r="A65" s="88" t="str">
        <f ca="1">IFERROR(__xludf.DUMMYFUNCTION("iferror(IFERROR(
HYPERLINK(
  VLOOKUP(
    INDEX(UNIQUE(FLATTEN({'1C'!$X$2:X200,'1C'!$C$2:C200})), ROW(A63)), 
    '1C'!C:O, 13, 0),
  INDEX(UNIQUE(FLATTEN({'1C'!$X$2:X200,'1C'!$C$2:C200})), ROW(A63))),
MATCH(INDEX(UNIQUE(FLATTEN({'1C'!$X$2:X200,'1C'!$C$2"&amp;":C200})), ROW(A63)), L$3:L200, 0)
),)"),"TR-12-2")</f>
        <v>TR-12-2</v>
      </c>
      <c r="B65" s="111">
        <f ca="1">IFERROR(
  VLOOKUP(A65, '1C'!C:F, 4, 0),)</f>
        <v>95</v>
      </c>
      <c r="C65" s="111">
        <f ca="1">IFERROR(
  VLOOKUP(A65, '1C'!C:AA, 25, 0),)</f>
        <v>95</v>
      </c>
      <c r="D65" s="80" t="str">
        <f ca="1">IFERROR(
  VLOOKUP(A65, '1C'!C:L, 10, 0),)</f>
        <v>Regulator temperatury w gnieździe od przekaźnika napięciowego, czujnik od dołu 1,8 m</v>
      </c>
      <c r="E65" s="81" t="str">
        <f ca="1">IFERROR(
  VLOOKUP(A65, '1C'!C:R, 16, 0),)</f>
        <v>gniazdo wtykowe</v>
      </c>
      <c r="F65" s="82" t="str">
        <f ca="1">IFERROR(
  VLOOKUP(A65, '1C'!C:S, 17, 0),)</f>
        <v>-</v>
      </c>
      <c r="G65" s="83" t="str">
        <f ca="1">IFERROR(
  VLOOKUP(A65, '1C'!C:V, 20, 0),)</f>
        <v>16А</v>
      </c>
      <c r="H65" s="81" t="str">
        <f ca="1">IFERROR(
  VLOOKUP(A65, '1C'!C:G, 5, 0),)</f>
        <v>NTTR12002</v>
      </c>
      <c r="I65" s="90">
        <f ca="1">IFERROR( VLOOKUP(A65, '1C'!C:I, 7, 0),)</f>
        <v>4820122950245</v>
      </c>
      <c r="J65" s="91" t="str">
        <f ca="1">IFERROR(
  VLOOKUP(A65, '1C'!C:H, 6, 0),)</f>
        <v>9032 89 00 00</v>
      </c>
      <c r="K65" s="86"/>
      <c r="L65" s="92"/>
    </row>
    <row r="66" spans="1:12" ht="14.4">
      <c r="A66" s="88" t="str">
        <f ca="1">IFERROR(__xludf.DUMMYFUNCTION("iferror(IFERROR(
HYPERLINK(
  VLOOKUP(
    INDEX(UNIQUE(FLATTEN({'1C'!$X$2:X200,'1C'!$C$2:C200})), ROW(A64)), 
    '1C'!C:O, 13, 0),
  INDEX(UNIQUE(FLATTEN({'1C'!$X$2:X200,'1C'!$C$2:C200})), ROW(A64))),
MATCH(INDEX(UNIQUE(FLATTEN({'1C'!$X$2:X200,'1C'!$C$2"&amp;":C200})), ROW(A64)), L$3:L200, 0)
),)"),"TR-12-3")</f>
        <v>TR-12-3</v>
      </c>
      <c r="B66" s="111">
        <f ca="1">IFERROR(
  VLOOKUP(A66, '1C'!C:F, 4, 0),)</f>
        <v>95</v>
      </c>
      <c r="C66" s="111">
        <f ca="1">IFERROR(
  VLOOKUP(A66, '1C'!C:AA, 25, 0),)</f>
        <v>95</v>
      </c>
      <c r="D66" s="80" t="str">
        <f ca="1">IFERROR(
  VLOOKUP(A66, '1C'!C:L, 10, 0),)</f>
        <v>Regulator temperatury w gnieździe od przekaźnika napięciowego, czujnik od góry, 10 cm</v>
      </c>
      <c r="E66" s="81" t="str">
        <f ca="1">IFERROR(
  VLOOKUP(A66, '1C'!C:R, 16, 0),)</f>
        <v>gniazdo wtykowe</v>
      </c>
      <c r="F66" s="82" t="str">
        <f ca="1">IFERROR(
  VLOOKUP(A66, '1C'!C:S, 17, 0),)</f>
        <v>-</v>
      </c>
      <c r="G66" s="83" t="str">
        <f ca="1">IFERROR(
  VLOOKUP(A66, '1C'!C:V, 20, 0),)</f>
        <v>16А</v>
      </c>
      <c r="H66" s="81" t="str">
        <f ca="1">IFERROR(
  VLOOKUP(A66, '1C'!C:G, 5, 0),)</f>
        <v>NTTR12003</v>
      </c>
      <c r="I66" s="90">
        <f ca="1">IFERROR( VLOOKUP(A66, '1C'!C:I, 7, 0),)</f>
        <v>4820122950252</v>
      </c>
      <c r="J66" s="91" t="str">
        <f ca="1">IFERROR(
  VLOOKUP(A66, '1C'!C:H, 6, 0),)</f>
        <v>9032 89 00 00</v>
      </c>
      <c r="K66" s="86"/>
      <c r="L66" s="92"/>
    </row>
    <row r="67" spans="1:12" ht="14.4">
      <c r="A67" s="88" t="str">
        <f ca="1">IFERROR(__xludf.DUMMYFUNCTION("iferror(IFERROR(
HYPERLINK(
  VLOOKUP(
    INDEX(UNIQUE(FLATTEN({'1C'!$X$2:X200,'1C'!$C$2:C200})), ROW(A65)), 
    '1C'!C:O, 13, 0),
  INDEX(UNIQUE(FLATTEN({'1C'!$X$2:X200,'1C'!$C$2:C200})), ROW(A65))),
MATCH(INDEX(UNIQUE(FLATTEN({'1C'!$X$2:X200,'1C'!$C$2"&amp;":C200})), ROW(A65)), L$3:L200, 0)
),)"),"TR-101")</f>
        <v>TR-101</v>
      </c>
      <c r="B67" s="111">
        <f ca="1">IFERROR(
  VLOOKUP(A67, '1C'!C:F, 4, 0),)</f>
        <v>460</v>
      </c>
      <c r="C67" s="111">
        <f ca="1">IFERROR(
  VLOOKUP(A67, '1C'!C:AA, 25, 0),)</f>
        <v>460</v>
      </c>
      <c r="D67" s="80" t="str">
        <f ca="1">IFERROR(
  VLOOKUP(A67, '1C'!C:L, 10, 0),)</f>
        <v>Przekaźnik temperatury, 4 niezależne kanały, tryby grzania/chłodzenia, wskazanie</v>
      </c>
      <c r="E67" s="81" t="str">
        <f ca="1">IFERROR(
  VLOOKUP(A67, '1C'!C:R, 16, 0),)</f>
        <v>DIN</v>
      </c>
      <c r="F67" s="82">
        <f ca="1">IFERROR(
  VLOOKUP(A67, '1C'!C:S, 17, 0),)</f>
        <v>8</v>
      </c>
      <c r="G67" s="83" t="str">
        <f ca="1">IFERROR(
  VLOOKUP(A67, '1C'!C:V, 20, 0),)</f>
        <v>10А</v>
      </c>
      <c r="H67" s="81" t="str">
        <f ca="1">IFERROR(
  VLOOKUP(A67, '1C'!C:G, 5, 0),)</f>
        <v>NTTR10100</v>
      </c>
      <c r="I67" s="90">
        <f ca="1">IFERROR( VLOOKUP(A67, '1C'!C:I, 7, 0),)</f>
        <v>0</v>
      </c>
      <c r="J67" s="91" t="str">
        <f ca="1">IFERROR(
  VLOOKUP(A67, '1C'!C:H, 6, 0),)</f>
        <v>9025 19 20 90</v>
      </c>
      <c r="K67" s="86"/>
      <c r="L67" s="92"/>
    </row>
    <row r="68" spans="1:12" ht="14.4">
      <c r="A68" s="88" t="str">
        <f ca="1">IFERROR(__xludf.DUMMYFUNCTION("iferror(IFERROR(
HYPERLINK(
  VLOOKUP(
    INDEX(UNIQUE(FLATTEN({'1C'!$X$2:X200,'1C'!$C$2:C200})), ROW(A66)), 
    '1C'!C:O, 13, 0),
  INDEX(UNIQUE(FLATTEN({'1C'!$X$2:X200,'1C'!$C$2:C200})), ROW(A66))),
MATCH(INDEX(UNIQUE(FLATTEN({'1C'!$X$2:X200,'1C'!$C$2"&amp;":C200})), ROW(A66)), L$3:L200, 0)
),)"),"TR-102")</f>
        <v>TR-102</v>
      </c>
      <c r="B68" s="111">
        <f ca="1">IFERROR(
  VLOOKUP(A68, '1C'!C:F, 4, 0),)</f>
        <v>445</v>
      </c>
      <c r="C68" s="111">
        <f ca="1">IFERROR(
  VLOOKUP(A68, '1C'!C:AA, 25, 0),)</f>
        <v>445</v>
      </c>
      <c r="D68" s="80" t="str">
        <f ca="1">IFERROR(
  VLOOKUP(A68, '1C'!C:L, 10, 0),)</f>
        <v>Sterownik ogrzewania, 4 strefy, sterowanie za pomocą czujnika bimetalicznego</v>
      </c>
      <c r="E68" s="81" t="str">
        <f ca="1">IFERROR(
  VLOOKUP(A68, '1C'!C:R, 16, 0),)</f>
        <v>DIN</v>
      </c>
      <c r="F68" s="82">
        <f ca="1">IFERROR(
  VLOOKUP(A68, '1C'!C:S, 17, 0),)</f>
        <v>8</v>
      </c>
      <c r="G68" s="83" t="str">
        <f ca="1">IFERROR(
  VLOOKUP(A68, '1C'!C:V, 20, 0),)</f>
        <v>10А</v>
      </c>
      <c r="H68" s="81" t="str">
        <f ca="1">IFERROR(
  VLOOKUP(A68, '1C'!C:G, 5, 0),)</f>
        <v>NTTR10200</v>
      </c>
      <c r="I68" s="90">
        <f ca="1">IFERROR( VLOOKUP(A68, '1C'!C:I, 7, 0),)</f>
        <v>0</v>
      </c>
      <c r="J68" s="91" t="str">
        <f ca="1">IFERROR(
  VLOOKUP(A68, '1C'!C:H, 6, 0),)</f>
        <v>9025 19 20 90</v>
      </c>
      <c r="K68" s="86"/>
      <c r="L68" s="92"/>
    </row>
    <row r="69" spans="1:12" ht="14.4">
      <c r="A69" s="93" t="str">
        <f ca="1">IFERROR(__xludf.DUMMYFUNCTION("iferror(IFERROR(
HYPERLINK(
  VLOOKUP(
    INDEX(UNIQUE(FLATTEN({'1C'!$X$2:X200,'1C'!$C$2:C200})), ROW(A67)), 
    '1C'!C:O, 13, 0),
  INDEX(UNIQUE(FLATTEN({'1C'!$X$2:X200,'1C'!$C$2:C200})), ROW(A67))),
MATCH(INDEX(UNIQUE(FLATTEN({'1C'!$X$2:X200,'1C'!$C$2"&amp;":C200})), ROW(A67)), L$3:L200, 0)
),)"),"TR-103")</f>
        <v>TR-103</v>
      </c>
      <c r="B69" s="111" t="str">
        <f ca="1">IFERROR(
  VLOOKUP(A69, '1C'!C:F, 4, 0),)</f>
        <v>na zamówienie</v>
      </c>
      <c r="C69" s="111" t="str">
        <f ca="1">IFERROR(
  VLOOKUP(A69, '1C'!C:AA, 25, 0),)</f>
        <v>na zamówienie</v>
      </c>
      <c r="D69" s="80" t="str">
        <f ca="1">IFERROR(
  VLOOKUP(A69, '1C'!C:L, 10, 0),)</f>
        <v>Zabezpieczenie transformatora suchego, 2 tory</v>
      </c>
      <c r="E69" s="81" t="str">
        <f ca="1">IFERROR(
  VLOOKUP(A69, '1C'!C:R, 16, 0),)</f>
        <v>DIN</v>
      </c>
      <c r="F69" s="82">
        <f ca="1">IFERROR(
  VLOOKUP(A69, '1C'!C:S, 17, 0),)</f>
        <v>2</v>
      </c>
      <c r="G69" s="83" t="str">
        <f ca="1">IFERROR(
  VLOOKUP(A69, '1C'!C:V, 20, 0),)</f>
        <v>5A</v>
      </c>
      <c r="H69" s="81" t="str">
        <f ca="1">IFERROR(
  VLOOKUP(A69, '1C'!C:G, 5, 0),)</f>
        <v>NTTR10300</v>
      </c>
      <c r="I69" s="90">
        <f ca="1">IFERROR( VLOOKUP(A69, '1C'!C:I, 7, 0),)</f>
        <v>0</v>
      </c>
      <c r="J69" s="91" t="str">
        <f ca="1">IFERROR(
  VLOOKUP(A69, '1C'!C:H, 6, 0),)</f>
        <v>9025 19 20 90</v>
      </c>
      <c r="K69" s="86"/>
      <c r="L69" s="92"/>
    </row>
    <row r="70" spans="1:12" ht="14.4">
      <c r="A70" s="88" t="str">
        <f ca="1">IFERROR(__xludf.DUMMYFUNCTION("iferror(IFERROR(
HYPERLINK(
  VLOOKUP(
    INDEX(UNIQUE(FLATTEN({'1C'!$X$2:X200,'1C'!$C$2:C200})), ROW(A68)), 
    '1C'!C:O, 13, 0),
  INDEX(UNIQUE(FLATTEN({'1C'!$X$2:X200,'1C'!$C$2:C200})), ROW(A68))),
MATCH(INDEX(UNIQUE(FLATTEN({'1C'!$X$2:X200,'1C'!$C$2"&amp;":C200})), ROW(A68)), L$3:L200, 0)
),)"),"TR-100")</f>
        <v>TR-100</v>
      </c>
      <c r="B70" s="111">
        <f ca="1">IFERROR(
  VLOOKUP(A70, '1C'!C:F, 4, 0),)</f>
        <v>1100</v>
      </c>
      <c r="C70" s="111">
        <f ca="1">IFERROR(
  VLOOKUP(A70, '1C'!C:AA, 25, 0),)</f>
        <v>1100</v>
      </c>
      <c r="D70" s="80" t="str">
        <f ca="1">IFERROR(
  VLOOKUP(A70, '1C'!C:L, 10, 0),)</f>
        <v>Zabezpieczenie transformatora suchego, 4 kanały, ModBus</v>
      </c>
      <c r="E70" s="81" t="str">
        <f ca="1">IFERROR(
  VLOOKUP(A70, '1C'!C:R, 16, 0),)</f>
        <v>DIN</v>
      </c>
      <c r="F70" s="82">
        <f ca="1">IFERROR(
  VLOOKUP(A70, '1C'!C:S, 17, 0),)</f>
        <v>8</v>
      </c>
      <c r="G70" s="83" t="str">
        <f ca="1">IFERROR(
  VLOOKUP(A70, '1C'!C:V, 20, 0),)</f>
        <v>10А</v>
      </c>
      <c r="H70" s="81" t="str">
        <f ca="1">IFERROR(
  VLOOKUP(A70, '1C'!C:G, 5, 0),)</f>
        <v>NTTR10000</v>
      </c>
      <c r="I70" s="90">
        <f ca="1">IFERROR( VLOOKUP(A70, '1C'!C:I, 7, 0),)</f>
        <v>0</v>
      </c>
      <c r="J70" s="91" t="str">
        <f ca="1">IFERROR(
  VLOOKUP(A70, '1C'!C:H, 6, 0),)</f>
        <v>9032 10 20 00</v>
      </c>
      <c r="K70" s="86"/>
      <c r="L70" s="92"/>
    </row>
    <row r="71" spans="1:12" ht="14.4">
      <c r="A71" s="88" t="str">
        <f ca="1">IFERROR(__xludf.DUMMYFUNCTION("iferror(IFERROR(
HYPERLINK(
  VLOOKUP(
    INDEX(UNIQUE(FLATTEN({'1C'!$X$2:X200,'1C'!$C$2:C200})), ROW(A69)), 
    '1C'!C:O, 13, 0),
  INDEX(UNIQUE(FLATTEN({'1C'!$X$2:X200,'1C'!$C$2:C200})), ROW(A69))),
MATCH(INDEX(UNIQUE(FLATTEN({'1C'!$X$2:X200,'1C'!$C$2"&amp;":C200})), ROW(A69)), L$3:L200, 0)
),)"),"TR-100m")</f>
        <v>TR-100m</v>
      </c>
      <c r="B71" s="111">
        <f ca="1">IFERROR(
  VLOOKUP(A71, '1C'!C:F, 4, 0),)</f>
        <v>1150</v>
      </c>
      <c r="C71" s="111">
        <f ca="1">IFERROR(
  VLOOKUP(A71, '1C'!C:AA, 25, 0),)</f>
        <v>1150</v>
      </c>
      <c r="D71" s="80" t="str">
        <f ca="1">IFERROR(
  VLOOKUP(A71, '1C'!C:L, 10, 0),)</f>
        <v>Zabezpieczenie transformatora suchego, 4 kanały, ModBus</v>
      </c>
      <c r="E71" s="81" t="str">
        <f ca="1">IFERROR(
  VLOOKUP(A71, '1C'!C:R, 16, 0),)</f>
        <v>osłona</v>
      </c>
      <c r="F71" s="82" t="str">
        <f ca="1">IFERROR(
  VLOOKUP(A71, '1C'!C:S, 17, 0),)</f>
        <v>-</v>
      </c>
      <c r="G71" s="83" t="str">
        <f ca="1">IFERROR(
  VLOOKUP(A71, '1C'!C:V, 20, 0),)</f>
        <v>10А</v>
      </c>
      <c r="H71" s="81" t="str">
        <f ca="1">IFERROR(
  VLOOKUP(A71, '1C'!C:G, 5, 0),)</f>
        <v>NTTR100M0</v>
      </c>
      <c r="I71" s="90">
        <f ca="1">IFERROR( VLOOKUP(A71, '1C'!C:I, 7, 0),)</f>
        <v>0</v>
      </c>
      <c r="J71" s="91" t="str">
        <f ca="1">IFERROR(
  VLOOKUP(A71, '1C'!C:H, 6, 0),)</f>
        <v>9032 10 20 00</v>
      </c>
      <c r="K71" s="86"/>
      <c r="L71" s="92"/>
    </row>
    <row r="72" spans="1:12" ht="14.4">
      <c r="A72" s="93" t="str">
        <f ca="1">IFERROR(__xludf.DUMMYFUNCTION("iferror(IFERROR(
HYPERLINK(
  VLOOKUP(
    INDEX(UNIQUE(FLATTEN({'1C'!$X$2:X200,'1C'!$C$2:C200})), ROW(A70)), 
    '1C'!C:O, 13, 0),
  INDEX(UNIQUE(FLATTEN({'1C'!$X$2:X200,'1C'!$C$2:C200})), ROW(A70))),
MATCH(INDEX(UNIQUE(FLATTEN({'1C'!$X$2:X200,'1C'!$C$2"&amp;":C200})), ROW(A70)), L$3:L200, 0)
),)"),"Sterowniki stacji pomp / przełączników ciśnieniowych")</f>
        <v>Sterowniki stacji pomp / przełączników ciśnieniowych</v>
      </c>
      <c r="B72" s="111">
        <f ca="1">IFERROR(
  VLOOKUP(A72, '1C'!C:F, 4, 0),)</f>
        <v>0</v>
      </c>
      <c r="C72" s="111">
        <f ca="1">IFERROR(
  VLOOKUP(A72, '1C'!C:AA, 25, 0),)</f>
        <v>0</v>
      </c>
      <c r="D72" s="80">
        <f ca="1">IFERROR(
  VLOOKUP(A72, '1C'!C:L, 10, 0),)</f>
        <v>0</v>
      </c>
      <c r="E72" s="81">
        <f ca="1">IFERROR(
  VLOOKUP(A72, '1C'!C:R, 16, 0),)</f>
        <v>0</v>
      </c>
      <c r="F72" s="82">
        <f ca="1">IFERROR(
  VLOOKUP(A72, '1C'!C:S, 17, 0),)</f>
        <v>0</v>
      </c>
      <c r="G72" s="83">
        <f ca="1">IFERROR(
  VLOOKUP(A72, '1C'!C:V, 20, 0),)</f>
        <v>0</v>
      </c>
      <c r="H72" s="81">
        <f ca="1">IFERROR(
  VLOOKUP(A72, '1C'!C:G, 5, 0),)</f>
        <v>0</v>
      </c>
      <c r="I72" s="90">
        <f ca="1">IFERROR( VLOOKUP(A72, '1C'!C:I, 7, 0),)</f>
        <v>0</v>
      </c>
      <c r="J72" s="91">
        <f ca="1">IFERROR(
  VLOOKUP(A72, '1C'!C:H, 6, 0),)</f>
        <v>0</v>
      </c>
      <c r="K72" s="86"/>
      <c r="L72" s="92"/>
    </row>
    <row r="73" spans="1:12" ht="26.4">
      <c r="A73" s="88" t="str">
        <f ca="1">IFERROR(__xludf.DUMMYFUNCTION("iferror(IFERROR(
HYPERLINK(
  VLOOKUP(
    INDEX(UNIQUE(FLATTEN({'1C'!$X$2:X200,'1C'!$C$2:C200})), ROW(A71)), 
    '1C'!C:O, 13, 0),
  INDEX(UNIQUE(FLATTEN({'1C'!$X$2:X200,'1C'!$C$2:C200})), ROW(A71))),
MATCH(INDEX(UNIQUE(FLATTEN({'1C'!$X$2:X200,'1C'!$C$2"&amp;":C200})), ROW(A71)), L$3:L200, 0)
),)"),"MCK-107")</f>
        <v>MCK-107</v>
      </c>
      <c r="B73" s="111">
        <f ca="1">IFERROR(
  VLOOKUP(A73, '1C'!C:F, 4, 0),)</f>
        <v>490</v>
      </c>
      <c r="C73" s="111">
        <f ca="1">IFERROR(
  VLOOKUP(A73, '1C'!C:AA, 25, 0),)</f>
        <v>490</v>
      </c>
      <c r="D73" s="80" t="str">
        <f ca="1">IFERROR(
  VLOOKUP(A73, '1C'!C:L, 10, 0),)</f>
        <v>Przekaźnik poziomu / ECM, tryby pracy - napełnianie, drenaż. ModBus, sygnalizacja, praca master z UBZ-301</v>
      </c>
      <c r="E73" s="81" t="str">
        <f ca="1">IFERROR(
  VLOOKUP(A73, '1C'!C:R, 16, 0),)</f>
        <v>DIN</v>
      </c>
      <c r="F73" s="82">
        <f ca="1">IFERROR(
  VLOOKUP(A73, '1C'!C:S, 17, 0),)</f>
        <v>4</v>
      </c>
      <c r="G73" s="83" t="str">
        <f ca="1">IFERROR(
  VLOOKUP(A73, '1C'!C:V, 20, 0),)</f>
        <v>16А</v>
      </c>
      <c r="H73" s="81" t="str">
        <f ca="1">IFERROR(
  VLOOKUP(A73, '1C'!C:G, 5, 0),)</f>
        <v>NTMCK1070</v>
      </c>
      <c r="I73" s="90">
        <f ca="1">IFERROR( VLOOKUP(A73, '1C'!C:I, 7, 0),)</f>
        <v>0</v>
      </c>
      <c r="J73" s="91" t="str">
        <f ca="1">IFERROR(
  VLOOKUP(A73, '1C'!C:H, 6, 0),)</f>
        <v>9032 89 00 00</v>
      </c>
      <c r="K73" s="86"/>
      <c r="L73" s="92"/>
    </row>
    <row r="74" spans="1:12" ht="14.4">
      <c r="A74" s="88" t="str">
        <f ca="1">IFERROR(__xludf.DUMMYFUNCTION("iferror(IFERROR(
HYPERLINK(
  VLOOKUP(
    INDEX(UNIQUE(FLATTEN({'1C'!$X$2:X200,'1C'!$C$2:C200})), ROW(A72)), 
    '1C'!C:O, 13, 0),
  INDEX(UNIQUE(FLATTEN({'1C'!$X$2:X200,'1C'!$C$2:C200})), ROW(A72))),
MATCH(INDEX(UNIQUE(FLATTEN({'1C'!$X$2:X200,'1C'!$C$2"&amp;":C200})), ROW(A72)), L$3:L200, 0)
),)"),"MCK-108")</f>
        <v>MCK-108</v>
      </c>
      <c r="B74" s="111">
        <f ca="1">IFERROR(
  VLOOKUP(A74, '1C'!C:F, 4, 0),)</f>
        <v>210</v>
      </c>
      <c r="C74" s="111">
        <f ca="1">IFERROR(
  VLOOKUP(A74, '1C'!C:AA, 25, 0),)</f>
        <v>210</v>
      </c>
      <c r="D74" s="80" t="str">
        <f ca="1">IFERROR(
  VLOOKUP(A74, '1C'!C:L, 10, 0),)</f>
        <v>Przekaźnik poziomu / ECM, tryby pracy - napełnianie, drenaż</v>
      </c>
      <c r="E74" s="81" t="str">
        <f ca="1">IFERROR(
  VLOOKUP(A74, '1C'!C:R, 16, 0),)</f>
        <v>DIN</v>
      </c>
      <c r="F74" s="82">
        <f ca="1">IFERROR(
  VLOOKUP(A74, '1C'!C:S, 17, 0),)</f>
        <v>3</v>
      </c>
      <c r="G74" s="83" t="str">
        <f ca="1">IFERROR(
  VLOOKUP(A74, '1C'!C:V, 20, 0),)</f>
        <v>10А</v>
      </c>
      <c r="H74" s="81" t="str">
        <f ca="1">IFERROR(
  VLOOKUP(A74, '1C'!C:G, 5, 0),)</f>
        <v>NTMCK1080</v>
      </c>
      <c r="I74" s="90">
        <f ca="1">IFERROR( VLOOKUP(A74, '1C'!C:I, 7, 0),)</f>
        <v>0</v>
      </c>
      <c r="J74" s="91" t="str">
        <f ca="1">IFERROR(
  VLOOKUP(A74, '1C'!C:H, 6, 0),)</f>
        <v>9032 89 00 00</v>
      </c>
      <c r="K74" s="86"/>
      <c r="L74" s="92"/>
    </row>
    <row r="75" spans="1:12" ht="14.4">
      <c r="A75" s="93" t="str">
        <f ca="1">IFERROR(__xludf.DUMMYFUNCTION("iferror(IFERROR(
HYPERLINK(
  VLOOKUP(
    INDEX(UNIQUE(FLATTEN({'1C'!$X$2:X200,'1C'!$C$2:C200})), ROW(A73)), 
    '1C'!C:O, 13, 0),
  INDEX(UNIQUE(FLATTEN({'1C'!$X$2:X200,'1C'!$C$2:C200})), ROW(A73))),
MATCH(INDEX(UNIQUE(FLATTEN({'1C'!$X$2:X200,'1C'!$C$2"&amp;":C200})), ROW(A73)), L$3:L200, 0)
),)"),"Rejestrator parametrów elektrycznych")</f>
        <v>Rejestrator parametrów elektrycznych</v>
      </c>
      <c r="B75" s="111">
        <f ca="1">IFERROR(
  VLOOKUP(A75, '1C'!C:F, 4, 0),)</f>
        <v>0</v>
      </c>
      <c r="C75" s="111">
        <f ca="1">IFERROR(
  VLOOKUP(A75, '1C'!C:AA, 25, 0),)</f>
        <v>0</v>
      </c>
      <c r="D75" s="80">
        <f ca="1">IFERROR(
  VLOOKUP(A75, '1C'!C:L, 10, 0),)</f>
        <v>0</v>
      </c>
      <c r="E75" s="81">
        <f ca="1">IFERROR(
  VLOOKUP(A75, '1C'!C:R, 16, 0),)</f>
        <v>0</v>
      </c>
      <c r="F75" s="82">
        <f ca="1">IFERROR(
  VLOOKUP(A75, '1C'!C:S, 17, 0),)</f>
        <v>0</v>
      </c>
      <c r="G75" s="83">
        <f ca="1">IFERROR(
  VLOOKUP(A75, '1C'!C:V, 20, 0),)</f>
        <v>0</v>
      </c>
      <c r="H75" s="81">
        <f ca="1">IFERROR(
  VLOOKUP(A75, '1C'!C:G, 5, 0),)</f>
        <v>0</v>
      </c>
      <c r="I75" s="90">
        <f ca="1">IFERROR( VLOOKUP(A75, '1C'!C:I, 7, 0),)</f>
        <v>0</v>
      </c>
      <c r="J75" s="91">
        <f ca="1">IFERROR(
  VLOOKUP(A75, '1C'!C:H, 6, 0),)</f>
        <v>0</v>
      </c>
      <c r="K75" s="86"/>
      <c r="L75" s="92"/>
    </row>
    <row r="76" spans="1:12" ht="14.4">
      <c r="A76" s="88" t="str">
        <f ca="1">IFERROR(__xludf.DUMMYFUNCTION("iferror(IFERROR(
HYPERLINK(
  VLOOKUP(
    INDEX(UNIQUE(FLATTEN({'1C'!$X$2:X200,'1C'!$C$2:C200})), ROW(A74)), 
    '1C'!C:O, 13, 0),
  INDEX(UNIQUE(FLATTEN({'1C'!$X$2:X200,'1C'!$C$2:C200})), ROW(A74))),
MATCH(INDEX(UNIQUE(FLATTEN({'1C'!$X$2:X200,'1C'!$C$2"&amp;":C200})), ROW(A74)), L$3:L200, 0)
),)"),"RPM-416")</f>
        <v>RPM-416</v>
      </c>
      <c r="B76" s="111">
        <f ca="1">IFERROR(
  VLOOKUP(A76, '1C'!C:F, 4, 0),)</f>
        <v>1700</v>
      </c>
      <c r="C76" s="111">
        <f ca="1">IFERROR(
  VLOOKUP(A76, '1C'!C:AA, 25, 0),)</f>
        <v>1700</v>
      </c>
      <c r="D76" s="80" t="str">
        <f ca="1">IFERROR(
  VLOOKUP(A76, '1C'!C:L, 10, 0),)</f>
        <v>Analizator jakości sieci, zapis karty, kanał 21, ModBus TCP, aplikacja PC</v>
      </c>
      <c r="E76" s="81" t="str">
        <f ca="1">IFERROR(
  VLOOKUP(A76, '1C'!C:R, 16, 0),)</f>
        <v>DIN</v>
      </c>
      <c r="F76" s="82">
        <f ca="1">IFERROR(
  VLOOKUP(A76, '1C'!C:S, 17, 0),)</f>
        <v>9</v>
      </c>
      <c r="G76" s="83" t="str">
        <f ca="1">IFERROR(
  VLOOKUP(A76, '1C'!C:V, 20, 0),)</f>
        <v>-</v>
      </c>
      <c r="H76" s="81" t="str">
        <f ca="1">IFERROR(
  VLOOKUP(A76, '1C'!C:G, 5, 0),)</f>
        <v>NTRPM4160</v>
      </c>
      <c r="I76" s="90">
        <f ca="1">IFERROR( VLOOKUP(A76, '1C'!C:I, 7, 0),)</f>
        <v>4820122950528</v>
      </c>
      <c r="J76" s="91" t="str">
        <f ca="1">IFERROR(
  VLOOKUP(A76, '1C'!C:H, 6, 0),)</f>
        <v>9030 32 00 00</v>
      </c>
      <c r="K76" s="86"/>
      <c r="L76" s="92"/>
    </row>
    <row r="77" spans="1:12" ht="14.4">
      <c r="A77" s="93" t="str">
        <f ca="1">IFERROR(__xludf.DUMMYFUNCTION("iferror(IFERROR(
HYPERLINK(
  VLOOKUP(
    INDEX(UNIQUE(FLATTEN({'1C'!$X$2:X200,'1C'!$C$2:C200})), ROW(A75)), 
    '1C'!C:O, 13, 0),
  INDEX(UNIQUE(FLATTEN({'1C'!$X$2:X200,'1C'!$C$2:C200})), ROW(A75))),
MATCH(INDEX(UNIQUE(FLATTEN({'1C'!$X$2:X200,'1C'!$C$2"&amp;":C200})), ROW(A75)), L$3:L200, 0)
),)"),"Mobile station RPM 100/5")</f>
        <v>Mobile station RPM 100/5</v>
      </c>
      <c r="B77" s="111" t="str">
        <f ca="1">IFERROR(
  VLOOKUP(A77, '1C'!C:F, 4, 0),)</f>
        <v>na zamówienie</v>
      </c>
      <c r="C77" s="111" t="str">
        <f ca="1">IFERROR(
  VLOOKUP(A77, '1C'!C:AA, 25, 0),)</f>
        <v>na zamówienie</v>
      </c>
      <c r="D77" s="80" t="str">
        <f ca="1">IFERROR(
  VLOOKUP(A77, '1C'!C:L, 10, 0),)</f>
        <v>Zestaw: płytka IP automat, RPM-416, 3 przekładniki prądowe 100/5А, zaciski, kabel UTP. Możliwy wynajem</v>
      </c>
      <c r="E77" s="81" t="str">
        <f ca="1">IFERROR(
  VLOOKUP(A77, '1C'!C:R, 16, 0),)</f>
        <v>panel sterowania</v>
      </c>
      <c r="F77" s="82" t="str">
        <f ca="1">IFERROR(
  VLOOKUP(A77, '1C'!C:S, 17, 0),)</f>
        <v>-</v>
      </c>
      <c r="G77" s="83" t="str">
        <f ca="1">IFERROR(
  VLOOKUP(A77, '1C'!C:V, 20, 0),)</f>
        <v>100A</v>
      </c>
      <c r="H77" s="81" t="str">
        <f ca="1">IFERROR(
  VLOOKUP(A77, '1C'!C:G, 5, 0),)</f>
        <v>NTRPM4161</v>
      </c>
      <c r="I77" s="90" t="str">
        <f ca="1">IFERROR( VLOOKUP(A77, '1C'!C:I, 7, 0),)</f>
        <v>-</v>
      </c>
      <c r="J77" s="91" t="str">
        <f ca="1">IFERROR(
  VLOOKUP(A77, '1C'!C:H, 6, 0),)</f>
        <v>-</v>
      </c>
      <c r="K77" s="86"/>
      <c r="L77" s="92"/>
    </row>
    <row r="78" spans="1:12" ht="14.4">
      <c r="A78" s="93" t="str">
        <f ca="1">IFERROR(__xludf.DUMMYFUNCTION("iferror(IFERROR(
HYPERLINK(
  VLOOKUP(
    INDEX(UNIQUE(FLATTEN({'1C'!$X$2:X200,'1C'!$C$2:C200})), ROW(A76)), 
    '1C'!C:O, 13, 0),
  INDEX(UNIQUE(FLATTEN({'1C'!$X$2:X200,'1C'!$C$2:C200})), ROW(A76))),
MATCH(INDEX(UNIQUE(FLATTEN({'1C'!$X$2:X200,'1C'!$C$2"&amp;":C200})), ROW(A76)), L$3:L200, 0)
),)"),"Mobile station RPM 200/5")</f>
        <v>Mobile station RPM 200/5</v>
      </c>
      <c r="B78" s="111" t="str">
        <f ca="1">IFERROR(
  VLOOKUP(A78, '1C'!C:F, 4, 0),)</f>
        <v>na zamówienie</v>
      </c>
      <c r="C78" s="111" t="str">
        <f ca="1">IFERROR(
  VLOOKUP(A78, '1C'!C:AA, 25, 0),)</f>
        <v>na zamówienie</v>
      </c>
      <c r="D78" s="80" t="str">
        <f ca="1">IFERROR(
  VLOOKUP(A78, '1C'!C:L, 10, 0),)</f>
        <v>Zestaw: płytka IP automat, RPM-416, 3 przekładniki prądowe 200/5А, zaciski, kabel UTP. Możliwy wynajem</v>
      </c>
      <c r="E78" s="81" t="str">
        <f ca="1">IFERROR(
  VLOOKUP(A78, '1C'!C:R, 16, 0),)</f>
        <v>panel sterowania</v>
      </c>
      <c r="F78" s="82" t="str">
        <f ca="1">IFERROR(
  VLOOKUP(A78, '1C'!C:S, 17, 0),)</f>
        <v>-</v>
      </c>
      <c r="G78" s="83" t="str">
        <f ca="1">IFERROR(
  VLOOKUP(A78, '1C'!C:V, 20, 0),)</f>
        <v>200A</v>
      </c>
      <c r="H78" s="81" t="str">
        <f ca="1">IFERROR(
  VLOOKUP(A78, '1C'!C:G, 5, 0),)</f>
        <v>NTRPM4162</v>
      </c>
      <c r="I78" s="90">
        <f ca="1">IFERROR( VLOOKUP(A78, '1C'!C:I, 7, 0),)</f>
        <v>0</v>
      </c>
      <c r="J78" s="91" t="str">
        <f ca="1">IFERROR(
  VLOOKUP(A78, '1C'!C:H, 6, 0),)</f>
        <v>-</v>
      </c>
      <c r="K78" s="86"/>
      <c r="L78" s="92"/>
    </row>
    <row r="79" spans="1:12" ht="14.4">
      <c r="A79" s="93" t="str">
        <f ca="1">IFERROR(__xludf.DUMMYFUNCTION("iferror(IFERROR(
HYPERLINK(
  VLOOKUP(
    INDEX(UNIQUE(FLATTEN({'1C'!$X$2:X200,'1C'!$C$2:C200})), ROW(A77)), 
    '1C'!C:O, 13, 0),
  INDEX(UNIQUE(FLATTEN({'1C'!$X$2:X200,'1C'!$C$2:C200})), ROW(A77))),
MATCH(INDEX(UNIQUE(FLATTEN({'1C'!$X$2:X200,'1C'!$C$2"&amp;":C200})), ROW(A77)), L$3:L200, 0)
),)"),"Mobile station RPM 400/5")</f>
        <v>Mobile station RPM 400/5</v>
      </c>
      <c r="B79" s="111" t="str">
        <f ca="1">IFERROR(
  VLOOKUP(A79, '1C'!C:F, 4, 0),)</f>
        <v>na zamówienie</v>
      </c>
      <c r="C79" s="111" t="str">
        <f ca="1">IFERROR(
  VLOOKUP(A79, '1C'!C:AA, 25, 0),)</f>
        <v>na zamówienie</v>
      </c>
      <c r="D79" s="80" t="str">
        <f ca="1">IFERROR(
  VLOOKUP(A79, '1C'!C:L, 10, 0),)</f>
        <v>Zestaw: płytka IP automat, RPM-416, 3 przekładniki prądowe 400/5А, zaciski, kabel UTP. Możliwy wynajem</v>
      </c>
      <c r="E79" s="81" t="str">
        <f ca="1">IFERROR(
  VLOOKUP(A79, '1C'!C:R, 16, 0),)</f>
        <v>panel sterowania</v>
      </c>
      <c r="F79" s="82" t="str">
        <f ca="1">IFERROR(
  VLOOKUP(A79, '1C'!C:S, 17, 0),)</f>
        <v>-</v>
      </c>
      <c r="G79" s="83" t="str">
        <f ca="1">IFERROR(
  VLOOKUP(A79, '1C'!C:V, 20, 0),)</f>
        <v>400A</v>
      </c>
      <c r="H79" s="81" t="str">
        <f ca="1">IFERROR(
  VLOOKUP(A79, '1C'!C:G, 5, 0),)</f>
        <v>NTRPM4164</v>
      </c>
      <c r="I79" s="90">
        <f ca="1">IFERROR( VLOOKUP(A79, '1C'!C:I, 7, 0),)</f>
        <v>0</v>
      </c>
      <c r="J79" s="91" t="str">
        <f ca="1">IFERROR(
  VLOOKUP(A79, '1C'!C:H, 6, 0),)</f>
        <v>-</v>
      </c>
      <c r="K79" s="86"/>
      <c r="L79" s="92"/>
    </row>
    <row r="80" spans="1:12" ht="14.4">
      <c r="A80" s="93" t="str">
        <f ca="1">IFERROR(__xludf.DUMMYFUNCTION("iferror(IFERROR(
HYPERLINK(
  VLOOKUP(
    INDEX(UNIQUE(FLATTEN({'1C'!$X$2:X200,'1C'!$C$2:C200})), ROW(A78)), 
    '1C'!C:O, 13, 0),
  INDEX(UNIQUE(FLATTEN({'1C'!$X$2:X200,'1C'!$C$2:C200})), ROW(A78))),
MATCH(INDEX(UNIQUE(FLATTEN({'1C'!$X$2:X200,'1C'!$C$2"&amp;":C200})), ROW(A78)), L$3:L200, 0)
),)"),"Mobile station RPM 800/5")</f>
        <v>Mobile station RPM 800/5</v>
      </c>
      <c r="B80" s="111" t="str">
        <f ca="1">IFERROR(
  VLOOKUP(A80, '1C'!C:F, 4, 0),)</f>
        <v>na zamówienie</v>
      </c>
      <c r="C80" s="111" t="str">
        <f ca="1">IFERROR(
  VLOOKUP(A80, '1C'!C:AA, 25, 0),)</f>
        <v>na zamówienie</v>
      </c>
      <c r="D80" s="80" t="str">
        <f ca="1">IFERROR(
  VLOOKUP(A80, '1C'!C:L, 10, 0),)</f>
        <v>Zestaw: płytka IP automat, RPM-416, 3 przekładniki prądowe 800/5А, zaciski, kabel UTP. Możliwy wynajem</v>
      </c>
      <c r="E80" s="81" t="str">
        <f ca="1">IFERROR(
  VLOOKUP(A80, '1C'!C:R, 16, 0),)</f>
        <v>panel sterowania</v>
      </c>
      <c r="F80" s="82" t="str">
        <f ca="1">IFERROR(
  VLOOKUP(A80, '1C'!C:S, 17, 0),)</f>
        <v>-</v>
      </c>
      <c r="G80" s="83" t="str">
        <f ca="1">IFERROR(
  VLOOKUP(A80, '1C'!C:V, 20, 0),)</f>
        <v>800A</v>
      </c>
      <c r="H80" s="81" t="str">
        <f ca="1">IFERROR(
  VLOOKUP(A80, '1C'!C:G, 5, 0),)</f>
        <v>NTRPM4168</v>
      </c>
      <c r="I80" s="90">
        <f ca="1">IFERROR( VLOOKUP(A80, '1C'!C:I, 7, 0),)</f>
        <v>0</v>
      </c>
      <c r="J80" s="91" t="str">
        <f ca="1">IFERROR(
  VLOOKUP(A80, '1C'!C:H, 6, 0),)</f>
        <v>-</v>
      </c>
      <c r="K80" s="86"/>
      <c r="L80" s="92"/>
    </row>
    <row r="81" spans="1:12" ht="14.4">
      <c r="A81" s="93" t="str">
        <f ca="1">IFERROR(__xludf.DUMMYFUNCTION("iferror(IFERROR(
HYPERLINK(
  VLOOKUP(
    INDEX(UNIQUE(FLATTEN({'1C'!$X$2:X200,'1C'!$C$2:C200})), ROW(A79)), 
    '1C'!C:O, 13, 0),
  INDEX(UNIQUE(FLATTEN({'1C'!$X$2:X200,'1C'!$C$2:C200})), ROW(A79))),
MATCH(INDEX(UNIQUE(FLATTEN({'1C'!$X$2:X200,'1C'!$C$2"&amp;":C200})), ROW(A79)), L$3:L200, 0)
),)"),"Kompensator mocy biernej")</f>
        <v>Kompensator mocy biernej</v>
      </c>
      <c r="B81" s="111">
        <f ca="1">IFERROR(
  VLOOKUP(A81, '1C'!C:F, 4, 0),)</f>
        <v>0</v>
      </c>
      <c r="C81" s="111">
        <f ca="1">IFERROR(
  VLOOKUP(A81, '1C'!C:AA, 25, 0),)</f>
        <v>0</v>
      </c>
      <c r="D81" s="80">
        <f ca="1">IFERROR(
  VLOOKUP(A81, '1C'!C:L, 10, 0),)</f>
        <v>0</v>
      </c>
      <c r="E81" s="81">
        <f ca="1">IFERROR(
  VLOOKUP(A81, '1C'!C:R, 16, 0),)</f>
        <v>0</v>
      </c>
      <c r="F81" s="82">
        <f ca="1">IFERROR(
  VLOOKUP(A81, '1C'!C:S, 17, 0),)</f>
        <v>0</v>
      </c>
      <c r="G81" s="83">
        <f ca="1">IFERROR(
  VLOOKUP(A81, '1C'!C:V, 20, 0),)</f>
        <v>0</v>
      </c>
      <c r="H81" s="81">
        <f ca="1">IFERROR(
  VLOOKUP(A81, '1C'!C:G, 5, 0),)</f>
        <v>0</v>
      </c>
      <c r="I81" s="90">
        <f ca="1">IFERROR( VLOOKUP(A81, '1C'!C:I, 7, 0),)</f>
        <v>0</v>
      </c>
      <c r="J81" s="91">
        <f ca="1">IFERROR(
  VLOOKUP(A81, '1C'!C:H, 6, 0),)</f>
        <v>0</v>
      </c>
      <c r="K81" s="86"/>
      <c r="L81" s="92"/>
    </row>
    <row r="82" spans="1:12" ht="14.4">
      <c r="A82" s="93" t="str">
        <f ca="1">IFERROR(__xludf.DUMMYFUNCTION("iferror(IFERROR(
HYPERLINK(
  VLOOKUP(
    INDEX(UNIQUE(FLATTEN({'1C'!$X$2:X200,'1C'!$C$2:C200})), ROW(A80)), 
    '1C'!C:O, 13, 0),
  INDEX(UNIQUE(FLATTEN({'1C'!$X$2:X200,'1C'!$C$2:C200})), ROW(A80))),
MATCH(INDEX(UNIQUE(FLATTEN({'1C'!$X$2:X200,'1C'!$C$2"&amp;":C200})), ROW(A80)), L$3:L200, 0)
),)"),"KRM-136")</f>
        <v>KRM-136</v>
      </c>
      <c r="B82" s="111">
        <f ca="1">IFERROR(
  VLOOKUP(A82, '1C'!C:F, 4, 0),)</f>
        <v>870</v>
      </c>
      <c r="C82" s="111">
        <f ca="1">IFERROR(
  VLOOKUP(A82, '1C'!C:AA, 25, 0),)</f>
        <v>870</v>
      </c>
      <c r="D82" s="80" t="str">
        <f ca="1">IFERROR(
  VLOOKUP(A82, '1C'!C:L, 10, 0),)</f>
        <v>Kontrola mocy biernej, 6 "puszki" (brak w zestawie)</v>
      </c>
      <c r="E82" s="81" t="str">
        <f ca="1">IFERROR(
  VLOOKUP(A82, '1C'!C:R, 16, 0),)</f>
        <v>osłona</v>
      </c>
      <c r="F82" s="82" t="str">
        <f ca="1">IFERROR(
  VLOOKUP(A82, '1C'!C:S, 17, 0),)</f>
        <v>-</v>
      </c>
      <c r="G82" s="83" t="str">
        <f ca="1">IFERROR(
  VLOOKUP(A82, '1C'!C:V, 20, 0),)</f>
        <v>7А</v>
      </c>
      <c r="H82" s="81" t="str">
        <f ca="1">IFERROR(
  VLOOKUP(A82, '1C'!C:G, 5, 0),)</f>
        <v>NTKRM1360</v>
      </c>
      <c r="I82" s="90">
        <f ca="1">IFERROR( VLOOKUP(A82, '1C'!C:I, 7, 0),)</f>
        <v>0</v>
      </c>
      <c r="J82" s="91" t="str">
        <f ca="1">IFERROR(
  VLOOKUP(A82, '1C'!C:H, 6, 0),)</f>
        <v>8537 10 91 00</v>
      </c>
      <c r="K82" s="86"/>
      <c r="L82" s="92"/>
    </row>
    <row r="83" spans="1:12" ht="14.4">
      <c r="A83" s="93" t="str">
        <f ca="1">IFERROR(__xludf.DUMMYFUNCTION("iferror(IFERROR(
HYPERLINK(
  VLOOKUP(
    INDEX(UNIQUE(FLATTEN({'1C'!$X$2:X200,'1C'!$C$2:C200})), ROW(A81)), 
    '1C'!C:O, 13, 0),
  INDEX(UNIQUE(FLATTEN({'1C'!$X$2:X200,'1C'!$C$2:C200})), ROW(A81))),
MATCH(INDEX(UNIQUE(FLATTEN({'1C'!$X$2:X200,'1C'!$C$2"&amp;":C200})), ROW(A81)), L$3:L200, 0)
),)"),"Urządzenie do kontroli wstępnej rezystancji izolacji")</f>
        <v>Urządzenie do kontroli wstępnej rezystancji izolacji</v>
      </c>
      <c r="B83" s="111">
        <f ca="1">IFERROR(
  VLOOKUP(A83, '1C'!C:F, 4, 0),)</f>
        <v>0</v>
      </c>
      <c r="C83" s="111">
        <f ca="1">IFERROR(
  VLOOKUP(A83, '1C'!C:AA, 25, 0),)</f>
        <v>0</v>
      </c>
      <c r="D83" s="80">
        <f ca="1">IFERROR(
  VLOOKUP(A83, '1C'!C:L, 10, 0),)</f>
        <v>0</v>
      </c>
      <c r="E83" s="81">
        <f ca="1">IFERROR(
  VLOOKUP(A83, '1C'!C:R, 16, 0),)</f>
        <v>0</v>
      </c>
      <c r="F83" s="82">
        <f ca="1">IFERROR(
  VLOOKUP(A83, '1C'!C:S, 17, 0),)</f>
        <v>0</v>
      </c>
      <c r="G83" s="83">
        <f ca="1">IFERROR(
  VLOOKUP(A83, '1C'!C:V, 20, 0),)</f>
        <v>0</v>
      </c>
      <c r="H83" s="81">
        <f ca="1">IFERROR(
  VLOOKUP(A83, '1C'!C:G, 5, 0),)</f>
        <v>0</v>
      </c>
      <c r="I83" s="90">
        <f ca="1">IFERROR( VLOOKUP(A83, '1C'!C:I, 7, 0),)</f>
        <v>0</v>
      </c>
      <c r="J83" s="91">
        <f ca="1">IFERROR(
  VLOOKUP(A83, '1C'!C:H, 6, 0),)</f>
        <v>0</v>
      </c>
      <c r="K83" s="86"/>
      <c r="L83" s="92"/>
    </row>
    <row r="84" spans="1:12" ht="14.4">
      <c r="A84" s="93" t="str">
        <f ca="1">IFERROR(__xludf.DUMMYFUNCTION("iferror(IFERROR(
HYPERLINK(
  VLOOKUP(
    INDEX(UNIQUE(FLATTEN({'1C'!$X$2:X200,'1C'!$C$2:C200})), ROW(A82)), 
    '1C'!C:O, 13, 0),
  INDEX(UNIQUE(FLATTEN({'1C'!$X$2:X200,'1C'!$C$2:C200})), ROW(A82))),
MATCH(INDEX(UNIQUE(FLATTEN({'1C'!$X$2:X200,'1C'!$C$2"&amp;":C200})), ROW(A82)), L$3:L200, 0)
),)"),"PCIR")</f>
        <v>PCIR</v>
      </c>
      <c r="B84" s="111">
        <f ca="1">IFERROR(
  VLOOKUP(A84, '1C'!C:F, 4, 0),)</f>
        <v>4300</v>
      </c>
      <c r="C84" s="111">
        <f ca="1">IFERROR(
  VLOOKUP(A84, '1C'!C:AA, 25, 0),)</f>
        <v>4300</v>
      </c>
      <c r="D84" s="80" t="str">
        <f ca="1">IFERROR(
  VLOOKUP(A84, '1C'!C:L, 10, 0),)</f>
        <v>Urządzenie do kontroli wstępnej rezystancji izolacji</v>
      </c>
      <c r="E84" s="81" t="str">
        <f ca="1">IFERROR(
  VLOOKUP(A84, '1C'!C:R, 16, 0),)</f>
        <v>inne</v>
      </c>
      <c r="F84" s="82" t="str">
        <f ca="1">IFERROR(
  VLOOKUP(A84, '1C'!C:S, 17, 0),)</f>
        <v>-</v>
      </c>
      <c r="G84" s="83" t="str">
        <f ca="1">IFERROR(
  VLOOKUP(A84, '1C'!C:V, 20, 0),)</f>
        <v>-</v>
      </c>
      <c r="H84" s="81" t="str">
        <f ca="1">IFERROR(
  VLOOKUP(A84, '1C'!C:G, 5, 0),)</f>
        <v>NTPPKSI00</v>
      </c>
      <c r="I84" s="90">
        <f ca="1">IFERROR( VLOOKUP(A84, '1C'!C:I, 7, 0),)</f>
        <v>0</v>
      </c>
      <c r="J84" s="91" t="str">
        <f ca="1">IFERROR(
  VLOOKUP(A84, '1C'!C:H, 6, 0),)</f>
        <v>9030 33 20 00</v>
      </c>
      <c r="K84" s="86"/>
      <c r="L84" s="92"/>
    </row>
    <row r="85" spans="1:12" ht="14.4">
      <c r="A85" s="93" t="str">
        <f ca="1">IFERROR(__xludf.DUMMYFUNCTION("iferror(IFERROR(
HYPERLINK(
  VLOOKUP(
    INDEX(UNIQUE(FLATTEN({'1C'!$X$2:X200,'1C'!$C$2:C200})), ROW(A83)), 
    '1C'!C:O, 13, 0),
  INDEX(UNIQUE(FLATTEN({'1C'!$X$2:X200,'1C'!$C$2:C200})), ROW(A83))),
MATCH(INDEX(UNIQUE(FLATTEN({'1C'!$X$2:X200,'1C'!$C$2"&amp;":C200})), ROW(A83)), L$3:L200, 0)
),)"),"Block divider to PCIR")</f>
        <v>Block divider to PCIR</v>
      </c>
      <c r="B85" s="111" t="str">
        <f ca="1">IFERROR(
  VLOOKUP(A85, '1C'!C:F, 4, 0),)</f>
        <v>-</v>
      </c>
      <c r="C85" s="111" t="str">
        <f ca="1">IFERROR(
  VLOOKUP(A85, '1C'!C:AA, 25, 0),)</f>
        <v>-</v>
      </c>
      <c r="D85" s="80" t="str">
        <f ca="1">IFERROR(
  VLOOKUP(A85, '1C'!C:L, 10, 0),)</f>
        <v>Blok dzielników</v>
      </c>
      <c r="E85" s="81" t="str">
        <f ca="1">IFERROR(
  VLOOKUP(A85, '1C'!C:R, 16, 0),)</f>
        <v>inne</v>
      </c>
      <c r="F85" s="82">
        <f ca="1">IFERROR(
  VLOOKUP(A85, '1C'!C:S, 17, 0),)</f>
        <v>0</v>
      </c>
      <c r="G85" s="83">
        <f ca="1">IFERROR(
  VLOOKUP(A85, '1C'!C:V, 20, 0),)</f>
        <v>0</v>
      </c>
      <c r="H85" s="81" t="str">
        <f ca="1">IFERROR(
  VLOOKUP(A85, '1C'!C:G, 5, 0),)</f>
        <v>NTPPKSI01</v>
      </c>
      <c r="I85" s="90">
        <f ca="1">IFERROR( VLOOKUP(A85, '1C'!C:I, 7, 0),)</f>
        <v>0</v>
      </c>
      <c r="J85" s="91" t="str">
        <f ca="1">IFERROR(
  VLOOKUP(A85, '1C'!C:H, 6, 0),)</f>
        <v>-</v>
      </c>
      <c r="K85" s="86"/>
      <c r="L85" s="92"/>
    </row>
    <row r="86" spans="1:12" ht="14.4">
      <c r="A86" s="93" t="str">
        <f ca="1">IFERROR(__xludf.DUMMYFUNCTION("iferror(IFERROR(
HYPERLINK(
  VLOOKUP(
    INDEX(UNIQUE(FLATTEN({'1C'!$X$2:X200,'1C'!$C$2:C200})), ROW(A84)), 
    '1C'!C:O, 13, 0),
  INDEX(UNIQUE(FLATTEN({'1C'!$X$2:X200,'1C'!$C$2:C200})), ROW(A84))),
MATCH(INDEX(UNIQUE(FLATTEN({'1C'!$X$2:X200,'1C'!$C$2"&amp;":C200})), ROW(A84)), L$3:L200, 0)
),)"),"Czujniki temperatury")</f>
        <v>Czujniki temperatury</v>
      </c>
      <c r="B86" s="111">
        <f ca="1">IFERROR(
  VLOOKUP(A86, '1C'!C:F, 4, 0),)</f>
        <v>0</v>
      </c>
      <c r="C86" s="111">
        <f ca="1">IFERROR(
  VLOOKUP(A86, '1C'!C:AA, 25, 0),)</f>
        <v>0</v>
      </c>
      <c r="D86" s="80">
        <f ca="1">IFERROR(
  VLOOKUP(A86, '1C'!C:L, 10, 0),)</f>
        <v>0</v>
      </c>
      <c r="E86" s="81">
        <f ca="1">IFERROR(
  VLOOKUP(A86, '1C'!C:R, 16, 0),)</f>
        <v>0</v>
      </c>
      <c r="F86" s="82">
        <f ca="1">IFERROR(
  VLOOKUP(A86, '1C'!C:S, 17, 0),)</f>
        <v>0</v>
      </c>
      <c r="G86" s="83">
        <f ca="1">IFERROR(
  VLOOKUP(A86, '1C'!C:V, 20, 0),)</f>
        <v>0</v>
      </c>
      <c r="H86" s="81">
        <f ca="1">IFERROR(
  VLOOKUP(A86, '1C'!C:G, 5, 0),)</f>
        <v>0</v>
      </c>
      <c r="I86" s="90">
        <f ca="1">IFERROR( VLOOKUP(A86, '1C'!C:I, 7, 0),)</f>
        <v>0</v>
      </c>
      <c r="J86" s="91">
        <f ca="1">IFERROR(
  VLOOKUP(A86, '1C'!C:H, 6, 0),)</f>
        <v>0</v>
      </c>
      <c r="K86" s="86"/>
      <c r="L86" s="92"/>
    </row>
    <row r="87" spans="1:12" ht="14.4">
      <c r="A87" s="88" t="str">
        <f ca="1">IFERROR(__xludf.DUMMYFUNCTION("iferror(IFERROR(
HYPERLINK(
  VLOOKUP(
    INDEX(UNIQUE(FLATTEN({'1C'!$X$2:X200,'1C'!$C$2:C200})), ROW(A85)), 
    '1C'!C:O, 13, 0),
  INDEX(UNIQUE(FLATTEN({'1C'!$X$2:X200,'1C'!$C$2:C200})), ROW(A85))),
MATCH(INDEX(UNIQUE(FLATTEN({'1C'!$X$2:X200,'1C'!$C$2"&amp;":C200})), ROW(A85)), L$3:L200, 0)
),)"),"NTC to MSK-102")</f>
        <v>NTC to MSK-102</v>
      </c>
      <c r="B87" s="111">
        <f ca="1">IFERROR(
  VLOOKUP(A87, '1C'!C:F, 4, 0),)</f>
        <v>30</v>
      </c>
      <c r="C87" s="111">
        <f ca="1">IFERROR(
  VLOOKUP(A87, '1C'!C:AA, 25, 0),)</f>
        <v>30</v>
      </c>
      <c r="D87" s="80" t="str">
        <f ca="1">IFERROR(
  VLOOKUP(A87, '1C'!C:L, 10, 0),)</f>
        <v>Czujnik temperatury NTC 10 kOhm -40°С / +125°С</v>
      </c>
      <c r="E87" s="81" t="str">
        <f ca="1">IFERROR(
  VLOOKUP(A87, '1C'!C:R, 16, 0),)</f>
        <v>inne</v>
      </c>
      <c r="F87" s="82" t="str">
        <f ca="1">IFERROR(
  VLOOKUP(A87, '1C'!C:S, 17, 0),)</f>
        <v>-</v>
      </c>
      <c r="G87" s="83" t="str">
        <f ca="1">IFERROR(
  VLOOKUP(A87, '1C'!C:V, 20, 0),)</f>
        <v>-</v>
      </c>
      <c r="H87" s="81" t="str">
        <f ca="1">IFERROR(
  VLOOKUP(A87, '1C'!C:G, 5, 0),)</f>
        <v>NTNTC10KB</v>
      </c>
      <c r="I87" s="90">
        <f ca="1">IFERROR( VLOOKUP(A87, '1C'!C:I, 7, 0),)</f>
        <v>0</v>
      </c>
      <c r="J87" s="91" t="str">
        <f ca="1">IFERROR(
  VLOOKUP(A87, '1C'!C:H, 6, 0),)</f>
        <v>9025 90 00 98</v>
      </c>
      <c r="K87" s="86"/>
      <c r="L87" s="92"/>
    </row>
    <row r="88" spans="1:12" ht="14.4">
      <c r="A88" s="88" t="str">
        <f ca="1">IFERROR(__xludf.DUMMYFUNCTION("iferror(IFERROR(
HYPERLINK(
  VLOOKUP(
    INDEX(UNIQUE(FLATTEN({'1C'!$X$2:X200,'1C'!$C$2:C200})), ROW(A86)), 
    '1C'!C:O, 13, 0),
  INDEX(UNIQUE(FLATTEN({'1C'!$X$2:X200,'1C'!$C$2:C200})), ROW(A86))),
MATCH(INDEX(UNIQUE(FLATTEN({'1C'!$X$2:X200,'1C'!$C$2"&amp;":C200})), ROW(A86)), L$3:L200, 0)
),)"),"PTC to MSK-301")</f>
        <v>PTC to MSK-301</v>
      </c>
      <c r="B88" s="111">
        <f ca="1">IFERROR(
  VLOOKUP(A88, '1C'!C:F, 4, 0),)</f>
        <v>50</v>
      </c>
      <c r="C88" s="111">
        <f ca="1">IFERROR(
  VLOOKUP(A88, '1C'!C:AA, 25, 0),)</f>
        <v>50</v>
      </c>
      <c r="D88" s="80" t="str">
        <f ca="1">IFERROR(
  VLOOKUP(A88, '1C'!C:L, 10, 0),)</f>
        <v>Czujnik temperatury PTC -55°С / +100°С</v>
      </c>
      <c r="E88" s="81" t="str">
        <f ca="1">IFERROR(
  VLOOKUP(A88, '1C'!C:R, 16, 0),)</f>
        <v>inne</v>
      </c>
      <c r="F88" s="82" t="str">
        <f ca="1">IFERROR(
  VLOOKUP(A88, '1C'!C:S, 17, 0),)</f>
        <v>-</v>
      </c>
      <c r="G88" s="83" t="str">
        <f ca="1">IFERROR(
  VLOOKUP(A88, '1C'!C:V, 20, 0),)</f>
        <v>-</v>
      </c>
      <c r="H88" s="81" t="str">
        <f ca="1">IFERROR(
  VLOOKUP(A88, '1C'!C:G, 5, 0),)</f>
        <v>NTPTC1000</v>
      </c>
      <c r="I88" s="90">
        <f ca="1">IFERROR( VLOOKUP(A88, '1C'!C:I, 7, 0),)</f>
        <v>0</v>
      </c>
      <c r="J88" s="91" t="str">
        <f ca="1">IFERROR(
  VLOOKUP(A88, '1C'!C:H, 6, 0),)</f>
        <v>9025 90 00 98</v>
      </c>
      <c r="K88" s="86"/>
      <c r="L88" s="92"/>
    </row>
    <row r="89" spans="1:12" ht="14.4">
      <c r="A89" s="88" t="str">
        <f ca="1">IFERROR(__xludf.DUMMYFUNCTION("iferror(IFERROR(
HYPERLINK(
  VLOOKUP(
    INDEX(UNIQUE(FLATTEN({'1C'!$X$2:X200,'1C'!$C$2:C200})), ROW(A87)), 
    '1C'!C:O, 13, 0),
  INDEX(UNIQUE(FLATTEN({'1C'!$X$2:X200,'1C'!$C$2:C200})), ROW(A87))),
MATCH(INDEX(UNIQUE(FLATTEN({'1C'!$X$2:X200,'1C'!$C$2"&amp;":C200})), ROW(A87)), L$3:L200, 0)
),)"),"NTC to MSK-301-5")</f>
        <v>NTC to MSK-301-5</v>
      </c>
      <c r="B89" s="111">
        <f ca="1">IFERROR(
  VLOOKUP(A89, '1C'!C:F, 4, 0),)</f>
        <v>145</v>
      </c>
      <c r="C89" s="111">
        <f ca="1">IFERROR(
  VLOOKUP(A89, '1C'!C:AA, 25, 0),)</f>
        <v>145</v>
      </c>
      <c r="D89" s="80" t="str">
        <f ca="1">IFERROR(
  VLOOKUP(A89, '1C'!C:L, 10, 0),)</f>
        <v>Czujnik temperatury, igła do owoców -10°C / +80°C</v>
      </c>
      <c r="E89" s="81" t="str">
        <f ca="1">IFERROR(
  VLOOKUP(A89, '1C'!C:R, 16, 0),)</f>
        <v>inne</v>
      </c>
      <c r="F89" s="82" t="str">
        <f ca="1">IFERROR(
  VLOOKUP(A89, '1C'!C:S, 17, 0),)</f>
        <v>-</v>
      </c>
      <c r="G89" s="83" t="str">
        <f ca="1">IFERROR(
  VLOOKUP(A89, '1C'!C:V, 20, 0),)</f>
        <v>-</v>
      </c>
      <c r="H89" s="81" t="str">
        <f ca="1">IFERROR(
  VLOOKUP(A89, '1C'!C:G, 5, 0),)</f>
        <v>NTNTC10KA</v>
      </c>
      <c r="I89" s="90">
        <f ca="1">IFERROR( VLOOKUP(A89, '1C'!C:I, 7, 0),)</f>
        <v>0</v>
      </c>
      <c r="J89" s="91" t="str">
        <f ca="1">IFERROR(
  VLOOKUP(A89, '1C'!C:H, 6, 0),)</f>
        <v>9025 90 00 98</v>
      </c>
      <c r="K89" s="86"/>
      <c r="L89" s="92"/>
    </row>
    <row r="90" spans="1:12" ht="14.4">
      <c r="A90" s="88" t="str">
        <f ca="1">IFERROR(__xludf.DUMMYFUNCTION("iferror(IFERROR(
HYPERLINK(
  VLOOKUP(
    INDEX(UNIQUE(FLATTEN({'1C'!$X$2:X200,'1C'!$C$2:C200})), ROW(A88)), 
    '1C'!C:O, 13, 0),
  INDEX(UNIQUE(FLATTEN({'1C'!$X$2:X200,'1C'!$C$2:C200})), ROW(A88))),
MATCH(INDEX(UNIQUE(FLATTEN({'1C'!$X$2:X200,'1C'!$C$2"&amp;":C200})), ROW(A88)), L$3:L200, 0)
),)"),"PT-100 to TP-100")</f>
        <v>PT-100 to TP-100</v>
      </c>
      <c r="B90" s="111">
        <f ca="1">IFERROR(
  VLOOKUP(A90, '1C'!C:F, 4, 0),)</f>
        <v>100</v>
      </c>
      <c r="C90" s="111">
        <f ca="1">IFERROR(
  VLOOKUP(A90, '1C'!C:AA, 25, 0),)</f>
        <v>100</v>
      </c>
      <c r="D90" s="80" t="str">
        <f ca="1">IFERROR(
  VLOOKUP(A90, '1C'!C:L, 10, 0),)</f>
        <v>Czujnik temperatury RT-100 -60°С / +150°С</v>
      </c>
      <c r="E90" s="81" t="str">
        <f ca="1">IFERROR(
  VLOOKUP(A90, '1C'!C:R, 16, 0),)</f>
        <v>inne</v>
      </c>
      <c r="F90" s="82" t="str">
        <f ca="1">IFERROR(
  VLOOKUP(A90, '1C'!C:S, 17, 0),)</f>
        <v>-</v>
      </c>
      <c r="G90" s="83" t="str">
        <f ca="1">IFERROR(
  VLOOKUP(A90, '1C'!C:V, 20, 0),)</f>
        <v>-</v>
      </c>
      <c r="H90" s="81" t="str">
        <f ca="1">IFERROR(
  VLOOKUP(A90, '1C'!C:G, 5, 0),)</f>
        <v>NTPT100L3</v>
      </c>
      <c r="I90" s="90">
        <f ca="1">IFERROR( VLOOKUP(A90, '1C'!C:I, 7, 0),)</f>
        <v>0</v>
      </c>
      <c r="J90" s="91" t="str">
        <f ca="1">IFERROR(
  VLOOKUP(A90, '1C'!C:H, 6, 0),)</f>
        <v>9025 90 00 98</v>
      </c>
      <c r="K90" s="86"/>
      <c r="L90" s="92"/>
    </row>
    <row r="91" spans="1:12" ht="14.4">
      <c r="A91" s="93" t="str">
        <f ca="1">IFERROR(__xludf.DUMMYFUNCTION("iferror(IFERROR(
HYPERLINK(
  VLOOKUP(
    INDEX(UNIQUE(FLATTEN({'1C'!$X$2:X200,'1C'!$C$2:C200})), ROW(A89)), 
    '1C'!C:O, 13, 0),
  INDEX(UNIQUE(FLATTEN({'1C'!$X$2:X200,'1C'!$C$2:C200})), ROW(A89))),
MATCH(INDEX(UNIQUE(FLATTEN({'1C'!$X$2:X200,'1C'!$C$2"&amp;":C200})), ROW(A89)), L$3:L200, 0)
),)"),"Wyłącznik zmierzchowy")</f>
        <v>Wyłącznik zmierzchowy</v>
      </c>
      <c r="B91" s="111">
        <f ca="1">IFERROR(
  VLOOKUP(A91, '1C'!C:F, 4, 0),)</f>
        <v>0</v>
      </c>
      <c r="C91" s="111">
        <f ca="1">IFERROR(
  VLOOKUP(A91, '1C'!C:AA, 25, 0),)</f>
        <v>0</v>
      </c>
      <c r="D91" s="80">
        <f ca="1">IFERROR(
  VLOOKUP(A91, '1C'!C:L, 10, 0),)</f>
        <v>0</v>
      </c>
      <c r="E91" s="81">
        <f ca="1">IFERROR(
  VLOOKUP(A91, '1C'!C:R, 16, 0),)</f>
        <v>0</v>
      </c>
      <c r="F91" s="82">
        <f ca="1">IFERROR(
  VLOOKUP(A91, '1C'!C:S, 17, 0),)</f>
        <v>0</v>
      </c>
      <c r="G91" s="83">
        <f ca="1">IFERROR(
  VLOOKUP(A91, '1C'!C:V, 20, 0),)</f>
        <v>0</v>
      </c>
      <c r="H91" s="81">
        <f ca="1">IFERROR(
  VLOOKUP(A91, '1C'!C:G, 5, 0),)</f>
        <v>0</v>
      </c>
      <c r="I91" s="90">
        <f ca="1">IFERROR( VLOOKUP(A91, '1C'!C:I, 7, 0),)</f>
        <v>0</v>
      </c>
      <c r="J91" s="91">
        <f ca="1">IFERROR(
  VLOOKUP(A91, '1C'!C:H, 6, 0),)</f>
        <v>0</v>
      </c>
      <c r="K91" s="86"/>
      <c r="L91" s="92"/>
    </row>
    <row r="92" spans="1:12" ht="14.4">
      <c r="A92" s="88" t="str">
        <f ca="1">IFERROR(__xludf.DUMMYFUNCTION("iferror(IFERROR(
HYPERLINK(
  VLOOKUP(
    INDEX(UNIQUE(FLATTEN({'1C'!$X$2:X200,'1C'!$C$2:C200})), ROW(A90)), 
    '1C'!C:O, 13, 0),
  INDEX(UNIQUE(FLATTEN({'1C'!$X$2:X200,'1C'!$C$2:C200})), ROW(A90))),
MATCH(INDEX(UNIQUE(FLATTEN({'1C'!$X$2:X200,'1C'!$C$2"&amp;":C200})), ROW(A90)), L$3:L200, 0)
),)"),"MCK-33")</f>
        <v>MCK-33</v>
      </c>
      <c r="B92" s="111">
        <f ca="1">IFERROR(
  VLOOKUP(A92, '1C'!C:F, 4, 0),)</f>
        <v>72.5</v>
      </c>
      <c r="C92" s="111">
        <f ca="1">IFERROR(
  VLOOKUP(A92, '1C'!C:AA, 25, 0),)</f>
        <v>72.5</v>
      </c>
      <c r="D92" s="80" t="str">
        <f ca="1">IFERROR(
  VLOOKUP(A92, '1C'!C:L, 10, 0),)</f>
        <v>Wyłącznik zmierzchowy</v>
      </c>
      <c r="E92" s="81" t="str">
        <f ca="1">IFERROR(
  VLOOKUP(A92, '1C'!C:R, 16, 0),)</f>
        <v>inne</v>
      </c>
      <c r="F92" s="82" t="str">
        <f ca="1">IFERROR(
  VLOOKUP(A92, '1C'!C:S, 17, 0),)</f>
        <v>-</v>
      </c>
      <c r="G92" s="83" t="str">
        <f ca="1">IFERROR(
  VLOOKUP(A92, '1C'!C:V, 20, 0),)</f>
        <v>-</v>
      </c>
      <c r="H92" s="81" t="str">
        <f ca="1">IFERROR(
  VLOOKUP(A92, '1C'!C:G, 5, 0),)</f>
        <v>-</v>
      </c>
      <c r="I92" s="90">
        <f ca="1">IFERROR( VLOOKUP(A92, '1C'!C:I, 7, 0),)</f>
        <v>0</v>
      </c>
      <c r="J92" s="91" t="str">
        <f ca="1">IFERROR(
  VLOOKUP(A92, '1C'!C:H, 6, 0),)</f>
        <v>-</v>
      </c>
      <c r="K92" s="86"/>
      <c r="L92" s="92"/>
    </row>
    <row r="93" spans="1:12" ht="14.4">
      <c r="A93" s="93" t="str">
        <f ca="1">IFERROR(__xludf.DUMMYFUNCTION("iferror(IFERROR(
HYPERLINK(
  VLOOKUP(
    INDEX(UNIQUE(FLATTEN({'1C'!$X$2:X200,'1C'!$C$2:C200})), ROW(A91)), 
    '1C'!C:O, 13, 0),
  INDEX(UNIQUE(FLATTEN({'1C'!$X$2:X200,'1C'!$C$2:C200})), ROW(A91))),
MATCH(INDEX(UNIQUE(FLATTEN({'1C'!$X$2:X200,'1C'!$C$2"&amp;":C200})), ROW(A91)), L$3:L200, 0)
),)"),"Moduły we/wy")</f>
        <v>Moduły we/wy</v>
      </c>
      <c r="B93" s="111">
        <f ca="1">IFERROR(
  VLOOKUP(A93, '1C'!C:F, 4, 0),)</f>
        <v>0</v>
      </c>
      <c r="C93" s="111">
        <f ca="1">IFERROR(
  VLOOKUP(A93, '1C'!C:AA, 25, 0),)</f>
        <v>0</v>
      </c>
      <c r="D93" s="80">
        <f ca="1">IFERROR(
  VLOOKUP(A93, '1C'!C:L, 10, 0),)</f>
        <v>0</v>
      </c>
      <c r="E93" s="81">
        <f ca="1">IFERROR(
  VLOOKUP(A93, '1C'!C:R, 16, 0),)</f>
        <v>0</v>
      </c>
      <c r="F93" s="82">
        <f ca="1">IFERROR(
  VLOOKUP(A93, '1C'!C:S, 17, 0),)</f>
        <v>0</v>
      </c>
      <c r="G93" s="83">
        <f ca="1">IFERROR(
  VLOOKUP(A93, '1C'!C:V, 20, 0),)</f>
        <v>0</v>
      </c>
      <c r="H93" s="81">
        <f ca="1">IFERROR(
  VLOOKUP(A93, '1C'!C:G, 5, 0),)</f>
        <v>0</v>
      </c>
      <c r="I93" s="90">
        <f ca="1">IFERROR( VLOOKUP(A93, '1C'!C:I, 7, 0),)</f>
        <v>0</v>
      </c>
      <c r="J93" s="91">
        <f ca="1">IFERROR(
  VLOOKUP(A93, '1C'!C:H, 6, 0),)</f>
        <v>0</v>
      </c>
      <c r="K93" s="86"/>
      <c r="L93" s="92"/>
    </row>
    <row r="94" spans="1:12" ht="26.4">
      <c r="A94" s="88" t="str">
        <f ca="1">IFERROR(__xludf.DUMMYFUNCTION("iferror(IFERROR(
HYPERLINK(
  VLOOKUP(
    INDEX(UNIQUE(FLATTEN({'1C'!$X$2:X200,'1C'!$C$2:C200})), ROW(A92)), 
    '1C'!C:O, 13, 0),
  INDEX(UNIQUE(FLATTEN({'1C'!$X$2:X200,'1C'!$C$2:C200})), ROW(A92))),
MATCH(INDEX(UNIQUE(FLATTEN({'1C'!$X$2:X200,'1C'!$C$2"&amp;":C200})), ROW(A92)), L$3:L200, 0)
),)"),"OB-215")</f>
        <v>OB-215</v>
      </c>
      <c r="B94" s="111">
        <f ca="1">IFERROR(
  VLOOKUP(A94, '1C'!C:F, 4, 0),)</f>
        <v>205</v>
      </c>
      <c r="C94" s="111">
        <f ca="1">IFERROR(
  VLOOKUP(A94, '1C'!C:AA, 25, 0),)</f>
        <v>205</v>
      </c>
      <c r="D94" s="80" t="str">
        <f ca="1">IFERROR(
  VLOOKUP(A94, '1C'!C:L, 10, 0),)</f>
        <v>Jednokanałowy moduł I/O, 4 tryby pracy, 5 typów czujników, Modbus (wyjściowy przekaźnik wykonawczy), TTL - konwerter Modbus</v>
      </c>
      <c r="E94" s="81" t="str">
        <f ca="1">IFERROR(
  VLOOKUP(A94, '1C'!C:R, 16, 0),)</f>
        <v>DIN</v>
      </c>
      <c r="F94" s="82">
        <f ca="1">IFERROR(
  VLOOKUP(A94, '1C'!C:S, 17, 0),)</f>
        <v>1</v>
      </c>
      <c r="G94" s="83" t="str">
        <f ca="1">IFERROR(
  VLOOKUP(A94, '1C'!C:V, 20, 0),)</f>
        <v>8А</v>
      </c>
      <c r="H94" s="81" t="str">
        <f ca="1">IFERROR(
  VLOOKUP(A94, '1C'!C:G, 5, 0),)</f>
        <v>NTOV215IO</v>
      </c>
      <c r="I94" s="90">
        <f ca="1">IFERROR( VLOOKUP(A94, '1C'!C:I, 7, 0),)</f>
        <v>0</v>
      </c>
      <c r="J94" s="91" t="str">
        <f ca="1">IFERROR(
  VLOOKUP(A94, '1C'!C:H, 6, 0),)</f>
        <v>8517 62 00 00</v>
      </c>
      <c r="K94" s="86"/>
      <c r="L94" s="92"/>
    </row>
    <row r="95" spans="1:12" ht="26.4">
      <c r="A95" s="88" t="str">
        <f ca="1">IFERROR(__xludf.DUMMYFUNCTION("iferror(IFERROR(
HYPERLINK(
  VLOOKUP(
    INDEX(UNIQUE(FLATTEN({'1C'!$X$2:X200,'1C'!$C$2:C200})), ROW(A93)), 
    '1C'!C:O, 13, 0),
  INDEX(UNIQUE(FLATTEN({'1C'!$X$2:X200,'1C'!$C$2:C200})), ROW(A93))),
MATCH(INDEX(UNIQUE(FLATTEN({'1C'!$X$2:X200,'1C'!$C$2"&amp;":C200})), ROW(A93)), L$3:L200, 0)
),)"),"OB-216")</f>
        <v>OB-216</v>
      </c>
      <c r="B95" s="111">
        <f ca="1">IFERROR(
  VLOOKUP(A95, '1C'!C:F, 4, 0),)</f>
        <v>390</v>
      </c>
      <c r="C95" s="111">
        <f ca="1">IFERROR(
  VLOOKUP(A95, '1C'!C:AA, 25, 0),)</f>
        <v>390</v>
      </c>
      <c r="D95" s="80" t="str">
        <f ca="1">IFERROR(
  VLOOKUP(A95, '1C'!C:L, 10, 0),)</f>
        <v>Moduł I/O jednokanałowy 4 tryby pracy, 5 typów czujników, Modbus (sygnał wyjściowy 0-10, 4-20 mA), TTL - konwerter Modbus</v>
      </c>
      <c r="E95" s="81" t="str">
        <f ca="1">IFERROR(
  VLOOKUP(A95, '1C'!C:R, 16, 0),)</f>
        <v>DIN</v>
      </c>
      <c r="F95" s="82">
        <f ca="1">IFERROR(
  VLOOKUP(A95, '1C'!C:S, 17, 0),)</f>
        <v>1</v>
      </c>
      <c r="G95" s="83" t="str">
        <f ca="1">IFERROR(
  VLOOKUP(A95, '1C'!C:V, 20, 0),)</f>
        <v>-</v>
      </c>
      <c r="H95" s="81" t="str">
        <f ca="1">IFERROR(
  VLOOKUP(A95, '1C'!C:G, 5, 0),)</f>
        <v>NTOV216IO</v>
      </c>
      <c r="I95" s="90">
        <f ca="1">IFERROR( VLOOKUP(A95, '1C'!C:I, 7, 0),)</f>
        <v>0</v>
      </c>
      <c r="J95" s="91" t="str">
        <f ca="1">IFERROR(
  VLOOKUP(A95, '1C'!C:H, 6, 0),)</f>
        <v>8517 62 00 00</v>
      </c>
      <c r="K95" s="86"/>
      <c r="L95" s="92"/>
    </row>
    <row r="96" spans="1:12" ht="14.4">
      <c r="A96" s="93" t="str">
        <f ca="1">IFERROR(__xludf.DUMMYFUNCTION("iferror(IFERROR(
HYPERLINK(
  VLOOKUP(
    INDEX(UNIQUE(FLATTEN({'1C'!$X$2:X200,'1C'!$C$2:C200})), ROW(A94)), 
    '1C'!C:O, 13, 0),
  INDEX(UNIQUE(FLATTEN({'1C'!$X$2:X200,'1C'!$C$2:C200})), ROW(A94))),
MATCH(INDEX(UNIQUE(FLATTEN({'1C'!$X$2:X200,'1C'!$C$2"&amp;":C200})), ROW(A94)), L$3:L200, 0)
),)"),"Kontrolery dostępu ModBus WEB")</f>
        <v>Kontrolery dostępu ModBus WEB</v>
      </c>
      <c r="B96" s="111">
        <f ca="1">IFERROR(
  VLOOKUP(A96, '1C'!C:F, 4, 0),)</f>
        <v>0</v>
      </c>
      <c r="C96" s="111">
        <f ca="1">IFERROR(
  VLOOKUP(A96, '1C'!C:AA, 25, 0),)</f>
        <v>0</v>
      </c>
      <c r="D96" s="80">
        <f ca="1">IFERROR(
  VLOOKUP(A96, '1C'!C:L, 10, 0),)</f>
        <v>0</v>
      </c>
      <c r="E96" s="81">
        <f ca="1">IFERROR(
  VLOOKUP(A96, '1C'!C:R, 16, 0),)</f>
        <v>0</v>
      </c>
      <c r="F96" s="82">
        <f ca="1">IFERROR(
  VLOOKUP(A96, '1C'!C:S, 17, 0),)</f>
        <v>0</v>
      </c>
      <c r="G96" s="83">
        <f ca="1">IFERROR(
  VLOOKUP(A96, '1C'!C:V, 20, 0),)</f>
        <v>0</v>
      </c>
      <c r="H96" s="81">
        <f ca="1">IFERROR(
  VLOOKUP(A96, '1C'!C:G, 5, 0),)</f>
        <v>0</v>
      </c>
      <c r="I96" s="90">
        <f ca="1">IFERROR( VLOOKUP(A96, '1C'!C:I, 7, 0),)</f>
        <v>0</v>
      </c>
      <c r="J96" s="91">
        <f ca="1">IFERROR(
  VLOOKUP(A96, '1C'!C:H, 6, 0),)</f>
        <v>0</v>
      </c>
      <c r="K96" s="86"/>
      <c r="L96" s="92"/>
    </row>
    <row r="97" spans="1:12" ht="14.4">
      <c r="A97" s="88" t="str">
        <f ca="1">IFERROR(__xludf.DUMMYFUNCTION("iferror(IFERROR(
HYPERLINK(
  VLOOKUP(
    INDEX(UNIQUE(FLATTEN({'1C'!$X$2:X200,'1C'!$C$2:C200})), ROW(A95)), 
    '1C'!C:O, 13, 0),
  INDEX(UNIQUE(FLATTEN({'1C'!$X$2:X200,'1C'!$C$2:C200})), ROW(A95))),
MATCH(INDEX(UNIQUE(FLATTEN({'1C'!$X$2:X200,'1C'!$C$2"&amp;":C200})), ROW(A95)), L$3:L200, 0)
),)"),"EM-481")</f>
        <v>EM-481</v>
      </c>
      <c r="B97" s="111">
        <f ca="1">IFERROR(
  VLOOKUP(A97, '1C'!C:F, 4, 0),)</f>
        <v>1335</v>
      </c>
      <c r="C97" s="111">
        <f ca="1">IFERROR(
  VLOOKUP(A97, '1C'!C:AA, 25, 0),)</f>
        <v>1335</v>
      </c>
      <c r="D97" s="80" t="str">
        <f ca="1">IFERROR(
  VLOOKUP(A97, '1C'!C:L, 10, 0),)</f>
        <v>Moduł 3G GSM, wejście Eternalet (z bezpłatną usługą monitorowania chmury)</v>
      </c>
      <c r="E97" s="81" t="str">
        <f ca="1">IFERROR(
  VLOOKUP(A97, '1C'!C:R, 16, 0),)</f>
        <v>DIN</v>
      </c>
      <c r="F97" s="82">
        <f ca="1">IFERROR(
  VLOOKUP(A97, '1C'!C:S, 17, 0),)</f>
        <v>2</v>
      </c>
      <c r="G97" s="83" t="str">
        <f ca="1">IFERROR(
  VLOOKUP(A97, '1C'!C:V, 20, 0),)</f>
        <v>-</v>
      </c>
      <c r="H97" s="81" t="str">
        <f ca="1">IFERROR(
  VLOOKUP(A97, '1C'!C:G, 5, 0),)</f>
        <v>NTEM48100</v>
      </c>
      <c r="I97" s="90">
        <f ca="1">IFERROR( VLOOKUP(A97, '1C'!C:I, 7, 0),)</f>
        <v>0</v>
      </c>
      <c r="J97" s="91" t="str">
        <f ca="1">IFERROR(
  VLOOKUP(A97, '1C'!C:H, 6, 0),)</f>
        <v>8517 62 00 00</v>
      </c>
      <c r="K97" s="86"/>
      <c r="L97" s="92"/>
    </row>
    <row r="98" spans="1:12" ht="14.4">
      <c r="A98" s="88" t="str">
        <f ca="1">IFERROR(__xludf.DUMMYFUNCTION("iferror(IFERROR(
HYPERLINK(
  VLOOKUP(
    INDEX(UNIQUE(FLATTEN({'1C'!$X$2:X200,'1C'!$C$2:C200})), ROW(A96)), 
    '1C'!C:O, 13, 0),
  INDEX(UNIQUE(FLATTEN({'1C'!$X$2:X200,'1C'!$C$2:C200})), ROW(A96))),
MATCH(INDEX(UNIQUE(FLATTEN({'1C'!$X$2:X200,'1C'!$C$2"&amp;":C200})), ROW(A96)), L$3:L200, 0)
),)"),"EM-486")</f>
        <v>EM-486</v>
      </c>
      <c r="B98" s="111">
        <f ca="1">IFERROR(
  VLOOKUP(A98, '1C'!C:F, 4, 0),)</f>
        <v>1570</v>
      </c>
      <c r="C98" s="111">
        <f ca="1">IFERROR(
  VLOOKUP(A98, '1C'!C:AA, 25, 0),)</f>
        <v>1570</v>
      </c>
      <c r="D98" s="80" t="str">
        <f ca="1">IFERROR(
  VLOOKUP(A98, '1C'!C:L, 10, 0),)</f>
        <v>Moduł 2G GSM, wejście Eternalet, 4 wejścia, 3 przekaźniki (z bezpłatną usługą monitorowania chmury)</v>
      </c>
      <c r="E98" s="81" t="str">
        <f ca="1">IFERROR(
  VLOOKUP(A98, '1C'!C:R, 16, 0),)</f>
        <v>DIN</v>
      </c>
      <c r="F98" s="82">
        <f ca="1">IFERROR(
  VLOOKUP(A98, '1C'!C:S, 17, 0),)</f>
        <v>9</v>
      </c>
      <c r="G98" s="83" t="str">
        <f ca="1">IFERROR(
  VLOOKUP(A98, '1C'!C:V, 20, 0),)</f>
        <v>-</v>
      </c>
      <c r="H98" s="81" t="str">
        <f ca="1">IFERROR(
  VLOOKUP(A98, '1C'!C:G, 5, 0),)</f>
        <v>NTEM48600</v>
      </c>
      <c r="I98" s="90" t="str">
        <f ca="1">IFERROR( VLOOKUP(A98, '1C'!C:I, 7, 0),)</f>
        <v>-</v>
      </c>
      <c r="J98" s="91" t="str">
        <f ca="1">IFERROR(
  VLOOKUP(A98, '1C'!C:H, 6, 0),)</f>
        <v>8517 62 00 00</v>
      </c>
      <c r="K98" s="86"/>
      <c r="L98" s="92"/>
    </row>
    <row r="99" spans="1:12" ht="14.4">
      <c r="A99" s="88" t="str">
        <f ca="1">IFERROR(__xludf.DUMMYFUNCTION("iferror(IFERROR(
HYPERLINK(
  VLOOKUP(
    INDEX(UNIQUE(FLATTEN({'1C'!$X$2:X200,'1C'!$C$2:C200})), ROW(A97)), 
    '1C'!C:O, 13, 0),
  INDEX(UNIQUE(FLATTEN({'1C'!$X$2:X200,'1C'!$C$2:C200})), ROW(A97))),
MATCH(INDEX(UNIQUE(FLATTEN({'1C'!$X$2:X200,'1C'!$C$2"&amp;":C200})), ROW(A97)), L$3:L200, 0)
),)"),"EM-482")</f>
        <v>EM-482</v>
      </c>
      <c r="B99" s="111">
        <f ca="1">IFERROR(
  VLOOKUP(A99, '1C'!C:F, 4, 0),)</f>
        <v>485</v>
      </c>
      <c r="C99" s="111">
        <f ca="1">IFERROR(
  VLOOKUP(A99, '1C'!C:AA, 25, 0),)</f>
        <v>485</v>
      </c>
      <c r="D99" s="80" t="str">
        <f ca="1">IFERROR(
  VLOOKUP(A99, '1C'!C:L, 10, 0),)</f>
        <v>Wi-Fi - RS-485 (z bezpłatną usługą monitorowania chmury i zdalną anteną)</v>
      </c>
      <c r="E99" s="81" t="str">
        <f ca="1">IFERROR(
  VLOOKUP(A99, '1C'!C:R, 16, 0),)</f>
        <v>DIN</v>
      </c>
      <c r="F99" s="82">
        <f ca="1">IFERROR(
  VLOOKUP(A99, '1C'!C:S, 17, 0),)</f>
        <v>1</v>
      </c>
      <c r="G99" s="83" t="str">
        <f ca="1">IFERROR(
  VLOOKUP(A99, '1C'!C:V, 20, 0),)</f>
        <v>-</v>
      </c>
      <c r="H99" s="81" t="str">
        <f ca="1">IFERROR(
  VLOOKUP(A99, '1C'!C:G, 5, 0),)</f>
        <v>NTEM48200</v>
      </c>
      <c r="I99" s="90">
        <f ca="1">IFERROR( VLOOKUP(A99, '1C'!C:I, 7, 0),)</f>
        <v>0</v>
      </c>
      <c r="J99" s="91" t="str">
        <f ca="1">IFERROR(
  VLOOKUP(A99, '1C'!C:H, 6, 0),)</f>
        <v>8517 62 00 00</v>
      </c>
      <c r="K99" s="86"/>
      <c r="L99" s="92"/>
    </row>
    <row r="100" spans="1:12" ht="14.4">
      <c r="A100" s="88" t="str">
        <f ca="1">IFERROR(__xludf.DUMMYFUNCTION("iferror(IFERROR(
HYPERLINK(
  VLOOKUP(
    INDEX(UNIQUE(FLATTEN({'1C'!$X$2:X200,'1C'!$C$2:C200})), ROW(A98)), 
    '1C'!C:O, 13, 0),
  INDEX(UNIQUE(FLATTEN({'1C'!$X$2:X200,'1C'!$C$2:C200})), ROW(A98))),
MATCH(INDEX(UNIQUE(FLATTEN({'1C'!$X$2:X200,'1C'!$C$2"&amp;":C200})), ROW(A98)), L$3:L200, 0)
),)"),"EM-482-1")</f>
        <v>EM-482-1</v>
      </c>
      <c r="B100" s="111">
        <f ca="1">IFERROR(
  VLOOKUP(A100, '1C'!C:F, 4, 0),)</f>
        <v>485</v>
      </c>
      <c r="C100" s="111">
        <f ca="1">IFERROR(
  VLOOKUP(A100, '1C'!C:AA, 25, 0),)</f>
        <v>485</v>
      </c>
      <c r="D100" s="80" t="str">
        <f ca="1">IFERROR(
  VLOOKUP(A100, '1C'!C:L, 10, 0),)</f>
        <v>Wi-Fi - RS-485 (z bezpłatną usługą monitorowania chmury i zdalną anteną)</v>
      </c>
      <c r="E100" s="81" t="str">
        <f ca="1">IFERROR(
  VLOOKUP(A100, '1C'!C:R, 16, 0),)</f>
        <v>DIN</v>
      </c>
      <c r="F100" s="82">
        <f ca="1">IFERROR(
  VLOOKUP(A100, '1C'!C:S, 17, 0),)</f>
        <v>1</v>
      </c>
      <c r="G100" s="83" t="str">
        <f ca="1">IFERROR(
  VLOOKUP(A100, '1C'!C:V, 20, 0),)</f>
        <v>-</v>
      </c>
      <c r="H100" s="81" t="str">
        <f ca="1">IFERROR(
  VLOOKUP(A100, '1C'!C:G, 5, 0),)</f>
        <v>NTEM48201</v>
      </c>
      <c r="I100" s="90">
        <f ca="1">IFERROR( VLOOKUP(A100, '1C'!C:I, 7, 0),)</f>
        <v>0</v>
      </c>
      <c r="J100" s="91" t="str">
        <f ca="1">IFERROR(
  VLOOKUP(A100, '1C'!C:H, 6, 0),)</f>
        <v>8517 62 00 00</v>
      </c>
      <c r="K100" s="86"/>
      <c r="L100" s="92"/>
    </row>
    <row r="101" spans="1:12" ht="14.4">
      <c r="A101" s="88" t="str">
        <f ca="1">IFERROR(__xludf.DUMMYFUNCTION("iferror(IFERROR(
HYPERLINK(
  VLOOKUP(
    INDEX(UNIQUE(FLATTEN({'1C'!$X$2:X200,'1C'!$C$2:C200})), ROW(A99)), 
    '1C'!C:O, 13, 0),
  INDEX(UNIQUE(FLATTEN({'1C'!$X$2:X200,'1C'!$C$2:C200})), ROW(A99))),
MATCH(INDEX(UNIQUE(FLATTEN({'1C'!$X$2:X200,'1C'!$C$2"&amp;":C200})), ROW(A99)), L$3:L200, 0)
),)"),"EM-483")</f>
        <v>EM-483</v>
      </c>
      <c r="B101" s="111">
        <f ca="1">IFERROR(
  VLOOKUP(A101, '1C'!C:F, 4, 0),)</f>
        <v>795</v>
      </c>
      <c r="C101" s="111">
        <f ca="1">IFERROR(
  VLOOKUP(A101, '1C'!C:AA, 25, 0),)</f>
        <v>795</v>
      </c>
      <c r="D101" s="80" t="str">
        <f ca="1">IFERROR(
  VLOOKUP(A101, '1C'!C:L, 10, 0),)</f>
        <v>Konwerter interfejsu Modbus RTU / ASCII (RS-485) - Modbus TCP (Ethernet)</v>
      </c>
      <c r="E101" s="81" t="str">
        <f ca="1">IFERROR(
  VLOOKUP(A101, '1C'!C:R, 16, 0),)</f>
        <v>DIN</v>
      </c>
      <c r="F101" s="82">
        <f ca="1">IFERROR(
  VLOOKUP(A101, '1C'!C:S, 17, 0),)</f>
        <v>1</v>
      </c>
      <c r="G101" s="83" t="str">
        <f ca="1">IFERROR(
  VLOOKUP(A101, '1C'!C:V, 20, 0),)</f>
        <v>-</v>
      </c>
      <c r="H101" s="81" t="str">
        <f ca="1">IFERROR(
  VLOOKUP(A101, '1C'!C:G, 5, 0),)</f>
        <v>NTEM48300</v>
      </c>
      <c r="I101" s="90">
        <f ca="1">IFERROR( VLOOKUP(A101, '1C'!C:I, 7, 0),)</f>
        <v>0</v>
      </c>
      <c r="J101" s="91" t="str">
        <f ca="1">IFERROR(
  VLOOKUP(A101, '1C'!C:H, 6, 0),)</f>
        <v>8517 62 00 00</v>
      </c>
      <c r="K101" s="86"/>
      <c r="L101" s="92"/>
    </row>
    <row r="102" spans="1:12" ht="14.4">
      <c r="A102" s="88" t="str">
        <f ca="1">IFERROR(__xludf.DUMMYFUNCTION("iferror(IFERROR(
HYPERLINK(
  VLOOKUP(
    INDEX(UNIQUE(FLATTEN({'1C'!$X$2:X200,'1C'!$C$2:C200})), ROW(A100)), 
    '1C'!C:O, 13, 0),
  INDEX(UNIQUE(FLATTEN({'1C'!$X$2:X200,'1C'!$C$2:C200})), ROW(A100))),
MATCH(INDEX(UNIQUE(FLATTEN({'1C'!$X$2:X200,'1C'!$C"&amp;"$2:C200})), ROW(A100)), L$3:L200, 0)
),)"),"ET-485")</f>
        <v>ET-485</v>
      </c>
      <c r="B102" s="111">
        <f ca="1">IFERROR(
  VLOOKUP(A102, '1C'!C:F, 4, 0),)</f>
        <v>865</v>
      </c>
      <c r="C102" s="111">
        <f ca="1">IFERROR(
  VLOOKUP(A102, '1C'!C:AA, 25, 0),)</f>
        <v>865</v>
      </c>
      <c r="D102" s="80" t="str">
        <f ca="1">IFERROR(
  VLOOKUP(A102, '1C'!C:L, 10, 0),)</f>
        <v>Konwerter interfejsu Modbus RTU / ASCII (RS-485) - Modbus TCP (Ethernet)</v>
      </c>
      <c r="E102" s="81" t="str">
        <f ca="1">IFERROR(
  VLOOKUP(A102, '1C'!C:R, 16, 0),)</f>
        <v>DIN</v>
      </c>
      <c r="F102" s="82">
        <f ca="1">IFERROR(
  VLOOKUP(A102, '1C'!C:S, 17, 0),)</f>
        <v>3</v>
      </c>
      <c r="G102" s="83" t="str">
        <f ca="1">IFERROR(
  VLOOKUP(A102, '1C'!C:V, 20, 0),)</f>
        <v>-</v>
      </c>
      <c r="H102" s="81" t="str">
        <f ca="1">IFERROR(
  VLOOKUP(A102, '1C'!C:G, 5, 0),)</f>
        <v>NTET4850A</v>
      </c>
      <c r="I102" s="90">
        <f ca="1">IFERROR( VLOOKUP(A102, '1C'!C:I, 7, 0),)</f>
        <v>0</v>
      </c>
      <c r="J102" s="91" t="str">
        <f ca="1">IFERROR(
  VLOOKUP(A102, '1C'!C:H, 6, 0),)</f>
        <v>8517 62 00 00</v>
      </c>
      <c r="K102" s="86"/>
      <c r="L102" s="92"/>
    </row>
    <row r="103" spans="1:12" ht="14.4">
      <c r="A103" s="93" t="str">
        <f ca="1">IFERROR(__xludf.DUMMYFUNCTION("iferror(IFERROR(
HYPERLINK(
  VLOOKUP(
    INDEX(UNIQUE(FLATTEN({'1C'!$X$2:X200,'1C'!$C$2:C200})), ROW(A101)), 
    '1C'!C:O, 13, 0),
  INDEX(UNIQUE(FLATTEN({'1C'!$X$2:X200,'1C'!$C$2:C200})), ROW(A101))),
MATCH(INDEX(UNIQUE(FLATTEN({'1C'!$X$2:X200,'1C'!$C"&amp;"$2:C200})), ROW(A101)), L$3:L200, 0)
),)"),"ET-485 24V")</f>
        <v>ET-485 24V</v>
      </c>
      <c r="B103" s="111">
        <f ca="1">IFERROR(
  VLOOKUP(A103, '1C'!C:F, 4, 0),)</f>
        <v>885</v>
      </c>
      <c r="C103" s="111">
        <f ca="1">IFERROR(
  VLOOKUP(A103, '1C'!C:AA, 25, 0),)</f>
        <v>885</v>
      </c>
      <c r="D103" s="80" t="str">
        <f ca="1">IFERROR(
  VLOOKUP(A103, '1C'!C:L, 10, 0),)</f>
        <v>Konwerter interfejsu Modbus RTU / ASCII (RS-485) - Modbus TCP (Ethernet)</v>
      </c>
      <c r="E103" s="81" t="str">
        <f ca="1">IFERROR(
  VLOOKUP(A103, '1C'!C:R, 16, 0),)</f>
        <v>DIN</v>
      </c>
      <c r="F103" s="82">
        <f ca="1">IFERROR(
  VLOOKUP(A103, '1C'!C:S, 17, 0),)</f>
        <v>3</v>
      </c>
      <c r="G103" s="83" t="str">
        <f ca="1">IFERROR(
  VLOOKUP(A103, '1C'!C:V, 20, 0),)</f>
        <v>-</v>
      </c>
      <c r="H103" s="81" t="str">
        <f ca="1">IFERROR(
  VLOOKUP(A103, '1C'!C:G, 5, 0),)</f>
        <v>NTET4850D</v>
      </c>
      <c r="I103" s="90">
        <f ca="1">IFERROR( VLOOKUP(A103, '1C'!C:I, 7, 0),)</f>
        <v>0</v>
      </c>
      <c r="J103" s="91" t="str">
        <f ca="1">IFERROR(
  VLOOKUP(A103, '1C'!C:H, 6, 0),)</f>
        <v>8517 62 00 00</v>
      </c>
      <c r="K103" s="86"/>
      <c r="L103" s="92"/>
    </row>
    <row r="104" spans="1:12" ht="14.4">
      <c r="A104" s="93" t="str">
        <f ca="1">IFERROR(__xludf.DUMMYFUNCTION("iferror(IFERROR(
HYPERLINK(
  VLOOKUP(
    INDEX(UNIQUE(FLATTEN({'1C'!$X$2:X200,'1C'!$C$2:C200})), ROW(A102)), 
    '1C'!C:O, 13, 0),
  INDEX(UNIQUE(FLATTEN({'1C'!$X$2:X200,'1C'!$C$2:C200})), ROW(A102))),
MATCH(INDEX(UNIQUE(FLATTEN({'1C'!$X$2:X200,'1C'!$C"&amp;"$2:C200})), ROW(A102)), L$3:L200, 0)
),)"),"")</f>
        <v/>
      </c>
      <c r="B104" s="111">
        <f ca="1">IFERROR(
  VLOOKUP(A104, '1C'!C:F, 4, 0),)</f>
        <v>0</v>
      </c>
      <c r="C104" s="111">
        <f ca="1">IFERROR(
  VLOOKUP(A104, '1C'!C:AA, 25, 0),)</f>
        <v>0</v>
      </c>
      <c r="D104" s="80">
        <f ca="1">IFERROR(
  VLOOKUP(A104, '1C'!C:L, 10, 0),)</f>
        <v>0</v>
      </c>
      <c r="E104" s="81">
        <f ca="1">IFERROR(
  VLOOKUP(A104, '1C'!C:R, 16, 0),)</f>
        <v>0</v>
      </c>
      <c r="F104" s="82">
        <f ca="1">IFERROR(
  VLOOKUP(A104, '1C'!C:S, 17, 0),)</f>
        <v>0</v>
      </c>
      <c r="G104" s="83">
        <f ca="1">IFERROR(
  VLOOKUP(A104, '1C'!C:V, 20, 0),)</f>
        <v>0</v>
      </c>
      <c r="H104" s="81">
        <f ca="1">IFERROR(
  VLOOKUP(A104, '1C'!C:G, 5, 0),)</f>
        <v>0</v>
      </c>
      <c r="I104" s="90">
        <f ca="1">IFERROR( VLOOKUP(A104, '1C'!C:I, 7, 0),)</f>
        <v>0</v>
      </c>
      <c r="J104" s="91">
        <f ca="1">IFERROR(
  VLOOKUP(A104, '1C'!C:H, 6, 0),)</f>
        <v>0</v>
      </c>
      <c r="K104" s="86"/>
      <c r="L104" s="92"/>
    </row>
    <row r="105" spans="1:12" ht="14.4">
      <c r="A105" s="93" t="str">
        <f ca="1">IFERROR(__xludf.DUMMYFUNCTION("iferror(IFERROR(
HYPERLINK(
  VLOOKUP(
    INDEX(UNIQUE(FLATTEN({'1C'!$X$2:X200,'1C'!$C$2:C200})), ROW(A103)), 
    '1C'!C:O, 13, 0),
  INDEX(UNIQUE(FLATTEN({'1C'!$X$2:X200,'1C'!$C$2:C200})), ROW(A103))),
MATCH(INDEX(UNIQUE(FLATTEN({'1C'!$X$2:X200,'1C'!$C"&amp;"$2:C200})), ROW(A103)), L$3:L200, 0)
),)"),"OPCB-221")</f>
        <v>OPCB-221</v>
      </c>
      <c r="B105" s="111">
        <f ca="1">IFERROR(
  VLOOKUP(A105, '1C'!C:F, 4, 0),)</f>
        <v>2700</v>
      </c>
      <c r="C105" s="111">
        <f ca="1">IFERROR(
  VLOOKUP(A105, '1C'!C:AA, 25, 0),)</f>
        <v>2700</v>
      </c>
      <c r="D105" s="80">
        <f ca="1">IFERROR(
  VLOOKUP(A105, '1C'!C:L, 10, 0),)</f>
        <v>0</v>
      </c>
      <c r="E105" s="81" t="str">
        <f ca="1">IFERROR(
  VLOOKUP(A105, '1C'!C:R, 16, 0),)</f>
        <v>inne</v>
      </c>
      <c r="F105" s="82" t="str">
        <f ca="1">IFERROR(
  VLOOKUP(A105, '1C'!C:S, 17, 0),)</f>
        <v>-</v>
      </c>
      <c r="G105" s="83" t="str">
        <f ca="1">IFERROR(
  VLOOKUP(A105, '1C'!C:V, 20, 0),)</f>
        <v>-</v>
      </c>
      <c r="H105" s="81" t="str">
        <f ca="1">IFERROR(
  VLOOKUP(A105, '1C'!C:G, 5, 0),)</f>
        <v>-</v>
      </c>
      <c r="I105" s="90">
        <f ca="1">IFERROR( VLOOKUP(A105, '1C'!C:I, 7, 0),)</f>
        <v>0</v>
      </c>
      <c r="J105" s="91" t="str">
        <f ca="1">IFERROR(
  VLOOKUP(A105, '1C'!C:H, 6, 0),)</f>
        <v>8517 62 00 00</v>
      </c>
      <c r="K105" s="86"/>
      <c r="L105" s="92"/>
    </row>
    <row r="106" spans="1:12" ht="14.4">
      <c r="A106" s="93" t="str">
        <f ca="1">IFERROR(__xludf.DUMMYFUNCTION("iferror(IFERROR(
HYPERLINK(
  VLOOKUP(
    INDEX(UNIQUE(FLATTEN({'1C'!$X$2:X200,'1C'!$C$2:C200})), ROW(A104)), 
    '1C'!C:O, 13, 0),
  INDEX(UNIQUE(FLATTEN({'1C'!$X$2:X200,'1C'!$C$2:C200})), ROW(A104))),
MATCH(INDEX(UNIQUE(FLATTEN({'1C'!$X$2:X200,'1C'!$C"&amp;"$2:C200})), ROW(A104)), L$3:L200, 0)
),)"),"Blok automatycznego wprowadzania rezerwy")</f>
        <v>Blok automatycznego wprowadzania rezerwy</v>
      </c>
      <c r="B106" s="111">
        <f ca="1">IFERROR(
  VLOOKUP(A106, '1C'!C:F, 4, 0),)</f>
        <v>0</v>
      </c>
      <c r="C106" s="111">
        <f ca="1">IFERROR(
  VLOOKUP(A106, '1C'!C:AA, 25, 0),)</f>
        <v>0</v>
      </c>
      <c r="D106" s="80">
        <f ca="1">IFERROR(
  VLOOKUP(A106, '1C'!C:L, 10, 0),)</f>
        <v>0</v>
      </c>
      <c r="E106" s="81">
        <f ca="1">IFERROR(
  VLOOKUP(A106, '1C'!C:R, 16, 0),)</f>
        <v>0</v>
      </c>
      <c r="F106" s="82">
        <f ca="1">IFERROR(
  VLOOKUP(A106, '1C'!C:S, 17, 0),)</f>
        <v>0</v>
      </c>
      <c r="G106" s="83">
        <f ca="1">IFERROR(
  VLOOKUP(A106, '1C'!C:V, 20, 0),)</f>
        <v>0</v>
      </c>
      <c r="H106" s="81">
        <f ca="1">IFERROR(
  VLOOKUP(A106, '1C'!C:G, 5, 0),)</f>
        <v>0</v>
      </c>
      <c r="I106" s="90">
        <f ca="1">IFERROR( VLOOKUP(A106, '1C'!C:I, 7, 0),)</f>
        <v>0</v>
      </c>
      <c r="J106" s="91">
        <f ca="1">IFERROR(
  VLOOKUP(A106, '1C'!C:H, 6, 0),)</f>
        <v>0</v>
      </c>
      <c r="K106" s="86"/>
      <c r="L106" s="92"/>
    </row>
    <row r="107" spans="1:12" ht="26.4">
      <c r="A107" s="88" t="str">
        <f ca="1">IFERROR(__xludf.DUMMYFUNCTION("iferror(IFERROR(
HYPERLINK(
  VLOOKUP(
    INDEX(UNIQUE(FLATTEN({'1C'!$X$2:X200,'1C'!$C$2:C200})), ROW(A105)), 
    '1C'!C:O, 13, 0),
  INDEX(UNIQUE(FLATTEN({'1C'!$X$2:X200,'1C'!$C$2:C200})), ROW(A105))),
MATCH(INDEX(UNIQUE(FLATTEN({'1C'!$X$2:X200,'1C'!$C"&amp;"$2:C200})), ROW(A105)), L$3:L200, 0)
),)"),"PEF-321avr")</f>
        <v>PEF-321avr</v>
      </c>
      <c r="B107" s="111">
        <f ca="1">IFERROR(
  VLOOKUP(A107, '1C'!C:F, 4, 0),)</f>
        <v>850</v>
      </c>
      <c r="C107" s="111">
        <f ca="1">IFERROR(
  VLOOKUP(A107, '1C'!C:AA, 25, 0),)</f>
        <v>850</v>
      </c>
      <c r="D107" s="80" t="str">
        <f ca="1">IFERROR(
  VLOOKUP(A107, '1C'!C:L, 10, 0),)</f>
        <v>Trójfazowa jednostka AVR (2 wejścia trójfazowe lub 1 wejście trójfazowe i generator), Modbus, wskazanie napięcia na wejściach. Zdalne uruchamianie generatora, rozgrzewanie</v>
      </c>
      <c r="E107" s="81" t="str">
        <f ca="1">IFERROR(
  VLOOKUP(A107, '1C'!C:R, 16, 0),)</f>
        <v>DIN</v>
      </c>
      <c r="F107" s="82">
        <f ca="1">IFERROR(
  VLOOKUP(A107, '1C'!C:S, 17, 0),)</f>
        <v>9</v>
      </c>
      <c r="G107" s="83" t="str">
        <f ca="1">IFERROR(
  VLOOKUP(A107, '1C'!C:V, 20, 0),)</f>
        <v>5А, Stycznik</v>
      </c>
      <c r="H107" s="81" t="str">
        <f ca="1">IFERROR(
  VLOOKUP(A107, '1C'!C:G, 5, 0),)</f>
        <v>NTPEF321R</v>
      </c>
      <c r="I107" s="90">
        <f ca="1">IFERROR( VLOOKUP(A107, '1C'!C:I, 7, 0),)</f>
        <v>0</v>
      </c>
      <c r="J107" s="91" t="str">
        <f ca="1">IFERROR(
  VLOOKUP(A107, '1C'!C:H, 6, 0),)</f>
        <v>8536 49 00 90</v>
      </c>
      <c r="K107" s="86"/>
      <c r="L107" s="92"/>
    </row>
    <row r="108" spans="1:12" ht="14.4">
      <c r="A108" s="93" t="str">
        <f ca="1">IFERROR(__xludf.DUMMYFUNCTION("iferror(IFERROR(
HYPERLINK(
  VLOOKUP(
    INDEX(UNIQUE(FLATTEN({'1C'!$X$2:X200,'1C'!$C$2:C200})), ROW(A106)), 
    '1C'!C:O, 13, 0),
  INDEX(UNIQUE(FLATTEN({'1C'!$X$2:X200,'1C'!$C$2:C200})), ROW(A106))),
MATCH(INDEX(UNIQUE(FLATTEN({'1C'!$X$2:X200,'1C'!$C"&amp;"$2:C200})), ROW(A106)), L$3:L200, 0)
),)"),"Odłączane przekładniki prądowe")</f>
        <v>Odłączane przekładniki prądowe</v>
      </c>
      <c r="B108" s="111">
        <f ca="1">IFERROR(
  VLOOKUP(A108, '1C'!C:F, 4, 0),)</f>
        <v>0</v>
      </c>
      <c r="C108" s="111">
        <f ca="1">IFERROR(
  VLOOKUP(A108, '1C'!C:AA, 25, 0),)</f>
        <v>0</v>
      </c>
      <c r="D108" s="80">
        <f ca="1">IFERROR(
  VLOOKUP(A108, '1C'!C:L, 10, 0),)</f>
        <v>0</v>
      </c>
      <c r="E108" s="81">
        <f ca="1">IFERROR(
  VLOOKUP(A108, '1C'!C:R, 16, 0),)</f>
        <v>0</v>
      </c>
      <c r="F108" s="82">
        <f ca="1">IFERROR(
  VLOOKUP(A108, '1C'!C:S, 17, 0),)</f>
        <v>0</v>
      </c>
      <c r="G108" s="83">
        <f ca="1">IFERROR(
  VLOOKUP(A108, '1C'!C:V, 20, 0),)</f>
        <v>0</v>
      </c>
      <c r="H108" s="81">
        <f ca="1">IFERROR(
  VLOOKUP(A108, '1C'!C:G, 5, 0),)</f>
        <v>0</v>
      </c>
      <c r="I108" s="90">
        <f ca="1">IFERROR( VLOOKUP(A108, '1C'!C:I, 7, 0),)</f>
        <v>0</v>
      </c>
      <c r="J108" s="91">
        <f ca="1">IFERROR(
  VLOOKUP(A108, '1C'!C:H, 6, 0),)</f>
        <v>0</v>
      </c>
      <c r="K108" s="86"/>
      <c r="L108" s="92"/>
    </row>
    <row r="109" spans="1:12" ht="14.4">
      <c r="A109" s="88" t="str">
        <f ca="1">IFERROR(__xludf.DUMMYFUNCTION("iferror(IFERROR(
HYPERLINK(
  VLOOKUP(
    INDEX(UNIQUE(FLATTEN({'1C'!$X$2:X200,'1C'!$C$2:C200})), ROW(A107)), 
    '1C'!C:O, 13, 0),
  INDEX(UNIQUE(FLATTEN({'1C'!$X$2:X200,'1C'!$C$2:C200})), ROW(A107))),
MATCH(INDEX(UNIQUE(FLATTEN({'1C'!$X$2:X200,'1C'!$C"&amp;"$2:C200})), ROW(A107)), L$3:L200, 0)
),)"),"SCT-T24 100/5")</f>
        <v>SCT-T24 100/5</v>
      </c>
      <c r="B109" s="111">
        <f ca="1">IFERROR(
  VLOOKUP(A109, '1C'!C:F, 4, 0),)</f>
        <v>175</v>
      </c>
      <c r="C109" s="111">
        <f ca="1">IFERROR(
  VLOOKUP(A109, '1C'!C:AA, 25, 0),)</f>
        <v>175</v>
      </c>
      <c r="D109" s="80" t="str">
        <f ca="1">IFERROR(
  VLOOKUP(A109, '1C'!C:L, 10, 0),)</f>
        <v>Odłączany transformator prądu, 100/5</v>
      </c>
      <c r="E109" s="81" t="str">
        <f ca="1">IFERROR(
  VLOOKUP(A109, '1C'!C:R, 16, 0),)</f>
        <v>inne</v>
      </c>
      <c r="F109" s="82" t="str">
        <f ca="1">IFERROR(
  VLOOKUP(A109, '1C'!C:S, 17, 0),)</f>
        <v>-</v>
      </c>
      <c r="G109" s="83" t="str">
        <f ca="1">IFERROR(
  VLOOKUP(A109, '1C'!C:V, 20, 0),)</f>
        <v>-</v>
      </c>
      <c r="H109" s="81" t="str">
        <f ca="1">IFERROR(
  VLOOKUP(A109, '1C'!C:G, 5, 0),)</f>
        <v>NTTT100X5</v>
      </c>
      <c r="I109" s="90">
        <f ca="1">IFERROR( VLOOKUP(A109, '1C'!C:I, 7, 0),)</f>
        <v>0</v>
      </c>
      <c r="J109" s="91" t="str">
        <f ca="1">IFERROR(
  VLOOKUP(A109, '1C'!C:H, 6, 0),)</f>
        <v>8504 33 00 90</v>
      </c>
      <c r="K109" s="86"/>
      <c r="L109" s="92"/>
    </row>
    <row r="110" spans="1:12" ht="14.4">
      <c r="A110" s="88" t="str">
        <f ca="1">IFERROR(__xludf.DUMMYFUNCTION("iferror(IFERROR(
HYPERLINK(
  VLOOKUP(
    INDEX(UNIQUE(FLATTEN({'1C'!$X$2:X200,'1C'!$C$2:C200})), ROW(A108)), 
    '1C'!C:O, 13, 0),
  INDEX(UNIQUE(FLATTEN({'1C'!$X$2:X200,'1C'!$C$2:C200})), ROW(A108))),
MATCH(INDEX(UNIQUE(FLATTEN({'1C'!$X$2:X200,'1C'!$C"&amp;"$2:C200})), ROW(A108)), L$3:L200, 0)
),)"),"SCT-T24 200/5")</f>
        <v>SCT-T24 200/5</v>
      </c>
      <c r="B110" s="111">
        <f ca="1">IFERROR(
  VLOOKUP(A110, '1C'!C:F, 4, 0),)</f>
        <v>200</v>
      </c>
      <c r="C110" s="111">
        <f ca="1">IFERROR(
  VLOOKUP(A110, '1C'!C:AA, 25, 0),)</f>
        <v>200</v>
      </c>
      <c r="D110" s="80" t="str">
        <f ca="1">IFERROR(
  VLOOKUP(A110, '1C'!C:L, 10, 0),)</f>
        <v>Odłączany transformator prądu, 200/5</v>
      </c>
      <c r="E110" s="81" t="str">
        <f ca="1">IFERROR(
  VLOOKUP(A110, '1C'!C:R, 16, 0),)</f>
        <v>inne</v>
      </c>
      <c r="F110" s="82" t="str">
        <f ca="1">IFERROR(
  VLOOKUP(A110, '1C'!C:S, 17, 0),)</f>
        <v>-</v>
      </c>
      <c r="G110" s="83" t="str">
        <f ca="1">IFERROR(
  VLOOKUP(A110, '1C'!C:V, 20, 0),)</f>
        <v>-</v>
      </c>
      <c r="H110" s="81" t="str">
        <f ca="1">IFERROR(
  VLOOKUP(A110, '1C'!C:G, 5, 0),)</f>
        <v>NTTT200X5</v>
      </c>
      <c r="I110" s="90">
        <f ca="1">IFERROR( VLOOKUP(A110, '1C'!C:I, 7, 0),)</f>
        <v>0</v>
      </c>
      <c r="J110" s="91" t="str">
        <f ca="1">IFERROR(
  VLOOKUP(A110, '1C'!C:H, 6, 0),)</f>
        <v>8504 33 00 90</v>
      </c>
      <c r="K110" s="86"/>
      <c r="L110" s="92"/>
    </row>
    <row r="111" spans="1:12" ht="14.4">
      <c r="A111" s="88" t="str">
        <f ca="1">IFERROR(__xludf.DUMMYFUNCTION("iferror(IFERROR(
HYPERLINK(
  VLOOKUP(
    INDEX(UNIQUE(FLATTEN({'1C'!$X$2:X200,'1C'!$C$2:C200})), ROW(A109)), 
    '1C'!C:O, 13, 0),
  INDEX(UNIQUE(FLATTEN({'1C'!$X$2:X200,'1C'!$C$2:C200})), ROW(A109))),
MATCH(INDEX(UNIQUE(FLATTEN({'1C'!$X$2:X200,'1C'!$C"&amp;"$2:C200})), ROW(A109)), L$3:L200, 0)
),)"),"SCT-T36 400/5")</f>
        <v>SCT-T36 400/5</v>
      </c>
      <c r="B111" s="111">
        <f ca="1">IFERROR(
  VLOOKUP(A111, '1C'!C:F, 4, 0),)</f>
        <v>225</v>
      </c>
      <c r="C111" s="111">
        <f ca="1">IFERROR(
  VLOOKUP(A111, '1C'!C:AA, 25, 0),)</f>
        <v>225</v>
      </c>
      <c r="D111" s="80" t="str">
        <f ca="1">IFERROR(
  VLOOKUP(A111, '1C'!C:L, 10, 0),)</f>
        <v>Odłączany transformator prądu, 400/5</v>
      </c>
      <c r="E111" s="81" t="str">
        <f ca="1">IFERROR(
  VLOOKUP(A111, '1C'!C:R, 16, 0),)</f>
        <v>inne</v>
      </c>
      <c r="F111" s="82" t="str">
        <f ca="1">IFERROR(
  VLOOKUP(A111, '1C'!C:S, 17, 0),)</f>
        <v>-</v>
      </c>
      <c r="G111" s="83" t="str">
        <f ca="1">IFERROR(
  VLOOKUP(A111, '1C'!C:V, 20, 0),)</f>
        <v>-</v>
      </c>
      <c r="H111" s="81" t="str">
        <f ca="1">IFERROR(
  VLOOKUP(A111, '1C'!C:G, 5, 0),)</f>
        <v>NTTT400X5</v>
      </c>
      <c r="I111" s="90">
        <f ca="1">IFERROR( VLOOKUP(A111, '1C'!C:I, 7, 0),)</f>
        <v>0</v>
      </c>
      <c r="J111" s="91" t="str">
        <f ca="1">IFERROR(
  VLOOKUP(A111, '1C'!C:H, 6, 0),)</f>
        <v>8504 33 00 90</v>
      </c>
      <c r="K111" s="86"/>
      <c r="L111" s="92"/>
    </row>
    <row r="112" spans="1:12" ht="14.4">
      <c r="A112" s="93" t="str">
        <f ca="1">IFERROR(__xludf.DUMMYFUNCTION("iferror(IFERROR(
HYPERLINK(
  VLOOKUP(
    INDEX(UNIQUE(FLATTEN({'1C'!$X$2:X200,'1C'!$C$2:C200})), ROW(A110)), 
    '1C'!C:O, 13, 0),
  INDEX(UNIQUE(FLATTEN({'1C'!$X$2:X200,'1C'!$C$2:C200})), ROW(A110))),
MATCH(INDEX(UNIQUE(FLATTEN({'1C'!$X$2:X200,'1C'!$C"&amp;"$2:C200})), ROW(A110)), L$3:L200, 0)
),)"),"SCT-TXX 600/5")</f>
        <v>SCT-TXX 600/5</v>
      </c>
      <c r="B112" s="111">
        <f ca="1">IFERROR(
  VLOOKUP(A112, '1C'!C:F, 4, 0),)</f>
        <v>280</v>
      </c>
      <c r="C112" s="111">
        <f ca="1">IFERROR(
  VLOOKUP(A112, '1C'!C:AA, 25, 0),)</f>
        <v>280</v>
      </c>
      <c r="D112" s="80" t="str">
        <f ca="1">IFERROR(
  VLOOKUP(A112, '1C'!C:L, 10, 0),)</f>
        <v>Odłączany transformator prądu, 600/5</v>
      </c>
      <c r="E112" s="81" t="str">
        <f ca="1">IFERROR(
  VLOOKUP(A112, '1C'!C:R, 16, 0),)</f>
        <v>inne</v>
      </c>
      <c r="F112" s="82" t="str">
        <f ca="1">IFERROR(
  VLOOKUP(A112, '1C'!C:S, 17, 0),)</f>
        <v>-</v>
      </c>
      <c r="G112" s="83" t="str">
        <f ca="1">IFERROR(
  VLOOKUP(A112, '1C'!C:V, 20, 0),)</f>
        <v>-</v>
      </c>
      <c r="H112" s="81" t="str">
        <f ca="1">IFERROR(
  VLOOKUP(A112, '1C'!C:G, 5, 0),)</f>
        <v>NTTT600X5</v>
      </c>
      <c r="I112" s="90">
        <f ca="1">IFERROR( VLOOKUP(A112, '1C'!C:I, 7, 0),)</f>
        <v>0</v>
      </c>
      <c r="J112" s="91" t="str">
        <f ca="1">IFERROR(
  VLOOKUP(A112, '1C'!C:H, 6, 0),)</f>
        <v>8504 33 00 90</v>
      </c>
      <c r="K112" s="86"/>
      <c r="L112" s="92"/>
    </row>
    <row r="113" spans="1:12" ht="14.4">
      <c r="A113" s="88" t="str">
        <f ca="1">IFERROR(__xludf.DUMMYFUNCTION("iferror(IFERROR(
HYPERLINK(
  VLOOKUP(
    INDEX(UNIQUE(FLATTEN({'1C'!$X$2:X200,'1C'!$C$2:C200})), ROW(A111)), 
    '1C'!C:O, 13, 0),
  INDEX(UNIQUE(FLATTEN({'1C'!$X$2:X200,'1C'!$C$2:C200})), ROW(A111))),
MATCH(INDEX(UNIQUE(FLATTEN({'1C'!$X$2:X200,'1C'!$C"&amp;"$2:C200})), ROW(A111)), L$3:L200, 0)
),)"),"SCT-T50 800/5")</f>
        <v>SCT-T50 800/5</v>
      </c>
      <c r="B113" s="111">
        <f ca="1">IFERROR(
  VLOOKUP(A113, '1C'!C:F, 4, 0),)</f>
        <v>400</v>
      </c>
      <c r="C113" s="111">
        <f ca="1">IFERROR(
  VLOOKUP(A113, '1C'!C:AA, 25, 0),)</f>
        <v>400</v>
      </c>
      <c r="D113" s="80" t="str">
        <f ca="1">IFERROR(
  VLOOKUP(A113, '1C'!C:L, 10, 0),)</f>
        <v>Odłączany transformator prądu, 800/5</v>
      </c>
      <c r="E113" s="81" t="str">
        <f ca="1">IFERROR(
  VLOOKUP(A113, '1C'!C:R, 16, 0),)</f>
        <v>inne</v>
      </c>
      <c r="F113" s="82" t="str">
        <f ca="1">IFERROR(
  VLOOKUP(A113, '1C'!C:S, 17, 0),)</f>
        <v>-</v>
      </c>
      <c r="G113" s="83" t="str">
        <f ca="1">IFERROR(
  VLOOKUP(A113, '1C'!C:V, 20, 0),)</f>
        <v>-</v>
      </c>
      <c r="H113" s="81" t="str">
        <f ca="1">IFERROR(
  VLOOKUP(A113, '1C'!C:G, 5, 0),)</f>
        <v>NTTT800X5</v>
      </c>
      <c r="I113" s="90">
        <f ca="1">IFERROR( VLOOKUP(A113, '1C'!C:I, 7, 0),)</f>
        <v>0</v>
      </c>
      <c r="J113" s="91" t="str">
        <f ca="1">IFERROR(
  VLOOKUP(A113, '1C'!C:H, 6, 0),)</f>
        <v>8504 33 00 90</v>
      </c>
      <c r="K113" s="86"/>
      <c r="L113" s="92"/>
    </row>
    <row r="114" spans="1:12" ht="14.4">
      <c r="A114" s="93" t="str">
        <f ca="1">IFERROR(__xludf.DUMMYFUNCTION("iferror(IFERROR(
HYPERLINK(
  VLOOKUP(
    INDEX(UNIQUE(FLATTEN({'1C'!$X$2:X200,'1C'!$C$2:C200})), ROW(A112)), 
    '1C'!C:O, 13, 0),
  INDEX(UNIQUE(FLATTEN({'1C'!$X$2:X200,'1C'!$C$2:C200})), ROW(A112))),
MATCH(INDEX(UNIQUE(FLATTEN({'1C'!$X$2:X200,'1C'!$C"&amp;"$2:C200})), ROW(A112)), L$3:L200, 0)
),)"),"Ograniczniki przepięć (ograniczniki przepięć)")</f>
        <v>Ograniczniki przepięć (ograniczniki przepięć)</v>
      </c>
      <c r="B114" s="111">
        <f ca="1">IFERROR(
  VLOOKUP(A114, '1C'!C:F, 4, 0),)</f>
        <v>0</v>
      </c>
      <c r="C114" s="111">
        <f ca="1">IFERROR(
  VLOOKUP(A114, '1C'!C:AA, 25, 0),)</f>
        <v>0</v>
      </c>
      <c r="D114" s="80">
        <f ca="1">IFERROR(
  VLOOKUP(A114, '1C'!C:L, 10, 0),)</f>
        <v>0</v>
      </c>
      <c r="E114" s="81">
        <f ca="1">IFERROR(
  VLOOKUP(A114, '1C'!C:R, 16, 0),)</f>
        <v>0</v>
      </c>
      <c r="F114" s="82">
        <f ca="1">IFERROR(
  VLOOKUP(A114, '1C'!C:S, 17, 0),)</f>
        <v>0</v>
      </c>
      <c r="G114" s="83">
        <f ca="1">IFERROR(
  VLOOKUP(A114, '1C'!C:V, 20, 0),)</f>
        <v>0</v>
      </c>
      <c r="H114" s="81">
        <f ca="1">IFERROR(
  VLOOKUP(A114, '1C'!C:G, 5, 0),)</f>
        <v>0</v>
      </c>
      <c r="I114" s="90">
        <f ca="1">IFERROR( VLOOKUP(A114, '1C'!C:I, 7, 0),)</f>
        <v>0</v>
      </c>
      <c r="J114" s="91">
        <f ca="1">IFERROR(
  VLOOKUP(A114, '1C'!C:H, 6, 0),)</f>
        <v>0</v>
      </c>
      <c r="K114" s="86"/>
      <c r="L114" s="92"/>
    </row>
    <row r="115" spans="1:12" ht="14.4">
      <c r="A115" s="88" t="str">
        <f ca="1">IFERROR(__xludf.DUMMYFUNCTION("iferror(IFERROR(
HYPERLINK(
  VLOOKUP(
    INDEX(UNIQUE(FLATTEN({'1C'!$X$2:X200,'1C'!$C$2:C200})), ROW(A113)), 
    '1C'!C:O, 13, 0),
  INDEX(UNIQUE(FLATTEN({'1C'!$X$2:X200,'1C'!$C$2:C200})), ROW(A113))),
MATCH(INDEX(UNIQUE(FLATTEN({'1C'!$X$2:X200,'1C'!$C"&amp;"$2:C200})), ROW(A113)), L$3:L200, 0)
),)"),"OPN-M 10KA")</f>
        <v>OPN-M 10KA</v>
      </c>
      <c r="B115" s="111">
        <f ca="1">IFERROR(
  VLOOKUP(A115, '1C'!C:F, 4, 0),)</f>
        <v>65</v>
      </c>
      <c r="C115" s="111">
        <f ca="1">IFERROR(
  VLOOKUP(A115, '1C'!C:AA, 25, 0),)</f>
        <v>65</v>
      </c>
      <c r="D115" s="80" t="str">
        <f ca="1">IFERROR(
  VLOOKUP(A115, '1C'!C:L, 10, 0),)</f>
        <v>1 moduł 380V; W: 10kA, wkład wymienny</v>
      </c>
      <c r="E115" s="81" t="str">
        <f ca="1">IFERROR(
  VLOOKUP(A115, '1C'!C:R, 16, 0),)</f>
        <v>inne</v>
      </c>
      <c r="F115" s="82" t="str">
        <f ca="1">IFERROR(
  VLOOKUP(A115, '1C'!C:S, 17, 0),)</f>
        <v>-</v>
      </c>
      <c r="G115" s="83" t="str">
        <f ca="1">IFERROR(
  VLOOKUP(A115, '1C'!C:V, 20, 0),)</f>
        <v>-</v>
      </c>
      <c r="H115" s="81" t="str">
        <f ca="1">IFERROR(
  VLOOKUP(A115, '1C'!C:G, 5, 0),)</f>
        <v>NTOPNC103</v>
      </c>
      <c r="I115" s="90">
        <f ca="1">IFERROR( VLOOKUP(A115, '1C'!C:I, 7, 0),)</f>
        <v>0</v>
      </c>
      <c r="J115" s="91" t="str">
        <f ca="1">IFERROR(
  VLOOKUP(A115, '1C'!C:H, 6, 0),)</f>
        <v>8536 30 90 00</v>
      </c>
      <c r="K115" s="86"/>
      <c r="L115" s="92"/>
    </row>
    <row r="116" spans="1:12" ht="14.4">
      <c r="A116" s="88" t="str">
        <f ca="1">IFERROR(__xludf.DUMMYFUNCTION("iferror(IFERROR(
HYPERLINK(
  VLOOKUP(
    INDEX(UNIQUE(FLATTEN({'1C'!$X$2:X200,'1C'!$C$2:C200})), ROW(A114)), 
    '1C'!C:O, 13, 0),
  INDEX(UNIQUE(FLATTEN({'1C'!$X$2:X200,'1C'!$C$2:C200})), ROW(A114))),
MATCH(INDEX(UNIQUE(FLATTEN({'1C'!$X$2:X200,'1C'!$C"&amp;"$2:C200})), ROW(A114)), L$3:L200, 0)
),)"),"OPN-M 30KA")</f>
        <v>OPN-M 30KA</v>
      </c>
      <c r="B116" s="111">
        <f ca="1">IFERROR(
  VLOOKUP(A116, '1C'!C:F, 4, 0),)</f>
        <v>65</v>
      </c>
      <c r="C116" s="111">
        <f ca="1">IFERROR(
  VLOOKUP(A116, '1C'!C:AA, 25, 0),)</f>
        <v>65</v>
      </c>
      <c r="D116" s="80" t="str">
        <f ca="1">IFERROR(
  VLOOKUP(A116, '1C'!C:L, 10, 0),)</f>
        <v>1 moduł 380V; W: 30kA, wkład wymienny</v>
      </c>
      <c r="E116" s="81" t="str">
        <f ca="1">IFERROR(
  VLOOKUP(A116, '1C'!C:R, 16, 0),)</f>
        <v>inne</v>
      </c>
      <c r="F116" s="82" t="str">
        <f ca="1">IFERROR(
  VLOOKUP(A116, '1C'!C:S, 17, 0),)</f>
        <v>-</v>
      </c>
      <c r="G116" s="83" t="str">
        <f ca="1">IFERROR(
  VLOOKUP(A116, '1C'!C:V, 20, 0),)</f>
        <v>-</v>
      </c>
      <c r="H116" s="81" t="str">
        <f ca="1">IFERROR(
  VLOOKUP(A116, '1C'!C:G, 5, 0),)</f>
        <v>NTOPNC303</v>
      </c>
      <c r="I116" s="90">
        <f ca="1">IFERROR( VLOOKUP(A116, '1C'!C:I, 7, 0),)</f>
        <v>0</v>
      </c>
      <c r="J116" s="91" t="str">
        <f ca="1">IFERROR(
  VLOOKUP(A116, '1C'!C:H, 6, 0),)</f>
        <v>8536 30 90 00</v>
      </c>
      <c r="K116" s="86"/>
      <c r="L116" s="92"/>
    </row>
    <row r="117" spans="1:12" ht="14.4">
      <c r="A117" s="88" t="str">
        <f ca="1">IFERROR(__xludf.DUMMYFUNCTION("iferror(IFERROR(
HYPERLINK(
  VLOOKUP(
    INDEX(UNIQUE(FLATTEN({'1C'!$X$2:X200,'1C'!$C$2:C200})), ROW(A115)), 
    '1C'!C:O, 13, 0),
  INDEX(UNIQUE(FLATTEN({'1C'!$X$2:X200,'1C'!$C$2:C200})), ROW(A115))),
MATCH(INDEX(UNIQUE(FLATTEN({'1C'!$X$2:X200,'1C'!$C"&amp;"$2:C200})), ROW(A115)), L$3:L200, 0)
),)"),"N-PE")</f>
        <v>N-PE</v>
      </c>
      <c r="B117" s="111">
        <f ca="1">IFERROR(
  VLOOKUP(A117, '1C'!C:F, 4, 0),)</f>
        <v>75</v>
      </c>
      <c r="C117" s="111">
        <f ca="1">IFERROR(
  VLOOKUP(A117, '1C'!C:AA, 25, 0),)</f>
        <v>75</v>
      </c>
      <c r="D117" s="80" t="str">
        <f ca="1">IFERROR(
  VLOOKUP(A117, '1C'!C:L, 10, 0),)</f>
        <v>1 moduł 220V; W: 20kA, wkład wymienny N-PE</v>
      </c>
      <c r="E117" s="81" t="str">
        <f ca="1">IFERROR(
  VLOOKUP(A117, '1C'!C:R, 16, 0),)</f>
        <v>inne</v>
      </c>
      <c r="F117" s="82" t="str">
        <f ca="1">IFERROR(
  VLOOKUP(A117, '1C'!C:S, 17, 0),)</f>
        <v>-</v>
      </c>
      <c r="G117" s="83" t="str">
        <f ca="1">IFERROR(
  VLOOKUP(A117, '1C'!C:V, 20, 0),)</f>
        <v>-</v>
      </c>
      <c r="H117" s="81" t="str">
        <f ca="1">IFERROR(
  VLOOKUP(A117, '1C'!C:G, 5, 0),)</f>
        <v>NTOPNCNPE</v>
      </c>
      <c r="I117" s="90">
        <f ca="1">IFERROR( VLOOKUP(A117, '1C'!C:I, 7, 0),)</f>
        <v>0</v>
      </c>
      <c r="J117" s="91" t="str">
        <f ca="1">IFERROR(
  VLOOKUP(A117, '1C'!C:H, 6, 0),)</f>
        <v>8536 30 90 00</v>
      </c>
      <c r="K117" s="86"/>
      <c r="L117" s="92"/>
    </row>
    <row r="118" spans="1:12" ht="14.4">
      <c r="A118" s="88" t="str">
        <f ca="1">IFERROR(__xludf.DUMMYFUNCTION("iferror(IFERROR(
HYPERLINK(
  VLOOKUP(
    INDEX(UNIQUE(FLATTEN({'1C'!$X$2:X200,'1C'!$C$2:C200})), ROW(A116)), 
    '1C'!C:O, 13, 0),
  INDEX(UNIQUE(FLATTEN({'1C'!$X$2:X200,'1C'!$C$2:C200})), ROW(A116))),
MATCH(INDEX(UNIQUE(FLATTEN({'1C'!$X$2:X200,'1C'!$C"&amp;"$2:C200})), ROW(A116)), L$3:L200, 0)
),)"),"OPN-M (1S) 10KA")</f>
        <v>OPN-M (1S) 10KA</v>
      </c>
      <c r="B118" s="111">
        <f ca="1">IFERROR(
  VLOOKUP(A118, '1C'!C:F, 4, 0),)</f>
        <v>65</v>
      </c>
      <c r="C118" s="111">
        <f ca="1">IFERROR(
  VLOOKUP(A118, '1C'!C:AA, 25, 0),)</f>
        <v>65</v>
      </c>
      <c r="D118" s="80" t="str">
        <f ca="1">IFERROR(
  VLOOKUP(A118, '1C'!C:L, 10, 0),)</f>
        <v>1 moduł 380V; W: 10kA</v>
      </c>
      <c r="E118" s="81" t="str">
        <f ca="1">IFERROR(
  VLOOKUP(A118, '1C'!C:R, 16, 0),)</f>
        <v>DIN</v>
      </c>
      <c r="F118" s="82">
        <f ca="1">IFERROR(
  VLOOKUP(A118, '1C'!C:S, 17, 0),)</f>
        <v>1</v>
      </c>
      <c r="G118" s="83" t="str">
        <f ca="1">IFERROR(
  VLOOKUP(A118, '1C'!C:V, 20, 0),)</f>
        <v>-</v>
      </c>
      <c r="H118" s="81" t="str">
        <f ca="1">IFERROR(
  VLOOKUP(A118, '1C'!C:G, 5, 0),)</f>
        <v>NTOPN1S10</v>
      </c>
      <c r="I118" s="90">
        <f ca="1">IFERROR( VLOOKUP(A118, '1C'!C:I, 7, 0),)</f>
        <v>0</v>
      </c>
      <c r="J118" s="91" t="str">
        <f ca="1">IFERROR(
  VLOOKUP(A118, '1C'!C:H, 6, 0),)</f>
        <v>8536 30 90 00</v>
      </c>
      <c r="K118" s="86"/>
      <c r="L118" s="92"/>
    </row>
    <row r="119" spans="1:12" ht="14.4">
      <c r="A119" s="88" t="str">
        <f ca="1">IFERROR(__xludf.DUMMYFUNCTION("iferror(IFERROR(
HYPERLINK(
  VLOOKUP(
    INDEX(UNIQUE(FLATTEN({'1C'!$X$2:X200,'1C'!$C$2:C200})), ROW(A117)), 
    '1C'!C:O, 13, 0),
  INDEX(UNIQUE(FLATTEN({'1C'!$X$2:X200,'1C'!$C$2:C200})), ROW(A117))),
MATCH(INDEX(UNIQUE(FLATTEN({'1C'!$X$2:X200,'1C'!$C"&amp;"$2:C200})), ROW(A117)), L$3:L200, 0)
),)"),"OPN-M (1S) 30KA")</f>
        <v>OPN-M (1S) 30KA</v>
      </c>
      <c r="B119" s="111">
        <f ca="1">IFERROR(
  VLOOKUP(A119, '1C'!C:F, 4, 0),)</f>
        <v>65</v>
      </c>
      <c r="C119" s="111">
        <f ca="1">IFERROR(
  VLOOKUP(A119, '1C'!C:AA, 25, 0),)</f>
        <v>65</v>
      </c>
      <c r="D119" s="80" t="str">
        <f ca="1">IFERROR(
  VLOOKUP(A119, '1C'!C:L, 10, 0),)</f>
        <v>1 moduł 380V; W: 30kA</v>
      </c>
      <c r="E119" s="81" t="str">
        <f ca="1">IFERROR(
  VLOOKUP(A119, '1C'!C:R, 16, 0),)</f>
        <v>DIN</v>
      </c>
      <c r="F119" s="82">
        <f ca="1">IFERROR(
  VLOOKUP(A119, '1C'!C:S, 17, 0),)</f>
        <v>1</v>
      </c>
      <c r="G119" s="83" t="str">
        <f ca="1">IFERROR(
  VLOOKUP(A119, '1C'!C:V, 20, 0),)</f>
        <v>-</v>
      </c>
      <c r="H119" s="81" t="str">
        <f ca="1">IFERROR(
  VLOOKUP(A119, '1C'!C:G, 5, 0),)</f>
        <v>NTOPN1S30</v>
      </c>
      <c r="I119" s="90">
        <f ca="1">IFERROR( VLOOKUP(A119, '1C'!C:I, 7, 0),)</f>
        <v>0</v>
      </c>
      <c r="J119" s="91" t="str">
        <f ca="1">IFERROR(
  VLOOKUP(A119, '1C'!C:H, 6, 0),)</f>
        <v>8536 30 90 00</v>
      </c>
      <c r="K119" s="86"/>
      <c r="L119" s="92"/>
    </row>
    <row r="120" spans="1:12" ht="14.4">
      <c r="A120" s="88" t="str">
        <f ca="1">IFERROR(__xludf.DUMMYFUNCTION("iferror(IFERROR(
HYPERLINK(
  VLOOKUP(
    INDEX(UNIQUE(FLATTEN({'1C'!$X$2:X200,'1C'!$C$2:C200})), ROW(A118)), 
    '1C'!C:O, 13, 0),
  INDEX(UNIQUE(FLATTEN({'1C'!$X$2:X200,'1C'!$C$2:C200})), ROW(A118))),
MATCH(INDEX(UNIQUE(FLATTEN({'1C'!$X$2:X200,'1C'!$C"&amp;"$2:C200})), ROW(A118)), L$3:L200, 0)
),)"),"OPN-M (2S) 20KA")</f>
        <v>OPN-M (2S) 20KA</v>
      </c>
      <c r="B120" s="111">
        <f ca="1">IFERROR(
  VLOOKUP(A120, '1C'!C:F, 4, 0),)</f>
        <v>120</v>
      </c>
      <c r="C120" s="111">
        <f ca="1">IFERROR(
  VLOOKUP(A120, '1C'!C:AA, 25, 0),)</f>
        <v>120</v>
      </c>
      <c r="D120" s="80" t="str">
        <f ca="1">IFERROR(
  VLOOKUP(A120, '1C'!C:L, 10, 0),)</f>
        <v>2 moduły 220V; W: 20kA</v>
      </c>
      <c r="E120" s="81" t="str">
        <f ca="1">IFERROR(
  VLOOKUP(A120, '1C'!C:R, 16, 0),)</f>
        <v>DIN</v>
      </c>
      <c r="F120" s="82">
        <f ca="1">IFERROR(
  VLOOKUP(A120, '1C'!C:S, 17, 0),)</f>
        <v>2</v>
      </c>
      <c r="G120" s="83" t="str">
        <f ca="1">IFERROR(
  VLOOKUP(A120, '1C'!C:V, 20, 0),)</f>
        <v>-</v>
      </c>
      <c r="H120" s="81" t="str">
        <f ca="1">IFERROR(
  VLOOKUP(A120, '1C'!C:G, 5, 0),)</f>
        <v>NTOPN2S20</v>
      </c>
      <c r="I120" s="90">
        <f ca="1">IFERROR( VLOOKUP(A120, '1C'!C:I, 7, 0),)</f>
        <v>0</v>
      </c>
      <c r="J120" s="91" t="str">
        <f ca="1">IFERROR(
  VLOOKUP(A120, '1C'!C:H, 6, 0),)</f>
        <v>8536 30 90 00</v>
      </c>
      <c r="K120" s="86"/>
      <c r="L120" s="92"/>
    </row>
    <row r="121" spans="1:12" ht="14.4">
      <c r="A121" s="88" t="str">
        <f ca="1">IFERROR(__xludf.DUMMYFUNCTION("iferror(IFERROR(
HYPERLINK(
  VLOOKUP(
    INDEX(UNIQUE(FLATTEN({'1C'!$X$2:X200,'1C'!$C$2:C200})), ROW(A119)), 
    '1C'!C:O, 13, 0),
  INDEX(UNIQUE(FLATTEN({'1C'!$X$2:X200,'1C'!$C$2:C200})), ROW(A119))),
MATCH(INDEX(UNIQUE(FLATTEN({'1C'!$X$2:X200,'1C'!$C"&amp;"$2:C200})), ROW(A119)), L$3:L200, 0)
),)"),"OPN-M (3S) 10KA")</f>
        <v>OPN-M (3S) 10KA</v>
      </c>
      <c r="B121" s="111">
        <f ca="1">IFERROR(
  VLOOKUP(A121, '1C'!C:F, 4, 0),)</f>
        <v>140</v>
      </c>
      <c r="C121" s="111">
        <f ca="1">IFERROR(
  VLOOKUP(A121, '1C'!C:AA, 25, 0),)</f>
        <v>140</v>
      </c>
      <c r="D121" s="80" t="str">
        <f ca="1">IFERROR(
  VLOOKUP(A121, '1C'!C:L, 10, 0),)</f>
        <v>3 moduły 380V; W: 10kA</v>
      </c>
      <c r="E121" s="81" t="str">
        <f ca="1">IFERROR(
  VLOOKUP(A121, '1C'!C:R, 16, 0),)</f>
        <v>DIN</v>
      </c>
      <c r="F121" s="82">
        <f ca="1">IFERROR(
  VLOOKUP(A121, '1C'!C:S, 17, 0),)</f>
        <v>3</v>
      </c>
      <c r="G121" s="83" t="str">
        <f ca="1">IFERROR(
  VLOOKUP(A121, '1C'!C:V, 20, 0),)</f>
        <v>-</v>
      </c>
      <c r="H121" s="81" t="str">
        <f ca="1">IFERROR(
  VLOOKUP(A121, '1C'!C:G, 5, 0),)</f>
        <v>NTOPN3S10</v>
      </c>
      <c r="I121" s="90">
        <f ca="1">IFERROR( VLOOKUP(A121, '1C'!C:I, 7, 0),)</f>
        <v>0</v>
      </c>
      <c r="J121" s="91" t="str">
        <f ca="1">IFERROR(
  VLOOKUP(A121, '1C'!C:H, 6, 0),)</f>
        <v>8536 30 90 00</v>
      </c>
      <c r="K121" s="86"/>
      <c r="L121" s="92"/>
    </row>
    <row r="122" spans="1:12" ht="14.4">
      <c r="A122" s="88" t="str">
        <f ca="1">IFERROR(__xludf.DUMMYFUNCTION("iferror(IFERROR(
HYPERLINK(
  VLOOKUP(
    INDEX(UNIQUE(FLATTEN({'1C'!$X$2:X200,'1C'!$C$2:C200})), ROW(A120)), 
    '1C'!C:O, 13, 0),
  INDEX(UNIQUE(FLATTEN({'1C'!$X$2:X200,'1C'!$C$2:C200})), ROW(A120))),
MATCH(INDEX(UNIQUE(FLATTEN({'1C'!$X$2:X200,'1C'!$C"&amp;"$2:C200})), ROW(A120)), L$3:L200, 0)
),)"),"OPN-M (3S) 20KA")</f>
        <v>OPN-M (3S) 20KA</v>
      </c>
      <c r="B122" s="111">
        <f ca="1">IFERROR(
  VLOOKUP(A122, '1C'!C:F, 4, 0),)</f>
        <v>140</v>
      </c>
      <c r="C122" s="111">
        <f ca="1">IFERROR(
  VLOOKUP(A122, '1C'!C:AA, 25, 0),)</f>
        <v>140</v>
      </c>
      <c r="D122" s="80" t="str">
        <f ca="1">IFERROR(
  VLOOKUP(A122, '1C'!C:L, 10, 0),)</f>
        <v>3 moduły 380V In: 20kA</v>
      </c>
      <c r="E122" s="81" t="str">
        <f ca="1">IFERROR(
  VLOOKUP(A122, '1C'!C:R, 16, 0),)</f>
        <v>DIN</v>
      </c>
      <c r="F122" s="82">
        <f ca="1">IFERROR(
  VLOOKUP(A122, '1C'!C:S, 17, 0),)</f>
        <v>3</v>
      </c>
      <c r="G122" s="83" t="str">
        <f ca="1">IFERROR(
  VLOOKUP(A122, '1C'!C:V, 20, 0),)</f>
        <v>-</v>
      </c>
      <c r="H122" s="81" t="str">
        <f ca="1">IFERROR(
  VLOOKUP(A122, '1C'!C:G, 5, 0),)</f>
        <v>NTOPN3S20</v>
      </c>
      <c r="I122" s="90">
        <f ca="1">IFERROR( VLOOKUP(A122, '1C'!C:I, 7, 0),)</f>
        <v>0</v>
      </c>
      <c r="J122" s="91" t="str">
        <f ca="1">IFERROR(
  VLOOKUP(A122, '1C'!C:H, 6, 0),)</f>
        <v>8536 30 90 00</v>
      </c>
      <c r="K122" s="86"/>
      <c r="L122" s="92"/>
    </row>
    <row r="123" spans="1:12" ht="14.4">
      <c r="A123" s="88" t="str">
        <f ca="1">IFERROR(__xludf.DUMMYFUNCTION("iferror(IFERROR(
HYPERLINK(
  VLOOKUP(
    INDEX(UNIQUE(FLATTEN({'1C'!$X$2:X200,'1C'!$C$2:C200})), ROW(A121)), 
    '1C'!C:O, 13, 0),
  INDEX(UNIQUE(FLATTEN({'1C'!$X$2:X200,'1C'!$C$2:C200})), ROW(A121))),
MATCH(INDEX(UNIQUE(FLATTEN({'1C'!$X$2:X200,'1C'!$C"&amp;"$2:C200})), ROW(A121)), L$3:L200, 0)
),)"),"OPN-M (3S) 30KA")</f>
        <v>OPN-M (3S) 30KA</v>
      </c>
      <c r="B123" s="111">
        <f ca="1">IFERROR(
  VLOOKUP(A123, '1C'!C:F, 4, 0),)</f>
        <v>140</v>
      </c>
      <c r="C123" s="111">
        <f ca="1">IFERROR(
  VLOOKUP(A123, '1C'!C:AA, 25, 0),)</f>
        <v>140</v>
      </c>
      <c r="D123" s="80" t="str">
        <f ca="1">IFERROR(
  VLOOKUP(A123, '1C'!C:L, 10, 0),)</f>
        <v>3 moduły 380V; W: 30kA</v>
      </c>
      <c r="E123" s="81" t="str">
        <f ca="1">IFERROR(
  VLOOKUP(A123, '1C'!C:R, 16, 0),)</f>
        <v>DIN</v>
      </c>
      <c r="F123" s="82">
        <f ca="1">IFERROR(
  VLOOKUP(A123, '1C'!C:S, 17, 0),)</f>
        <v>3</v>
      </c>
      <c r="G123" s="83" t="str">
        <f ca="1">IFERROR(
  VLOOKUP(A123, '1C'!C:V, 20, 0),)</f>
        <v>-</v>
      </c>
      <c r="H123" s="81" t="str">
        <f ca="1">IFERROR(
  VLOOKUP(A123, '1C'!C:G, 5, 0),)</f>
        <v>NTOPN3S30</v>
      </c>
      <c r="I123" s="90">
        <f ca="1">IFERROR( VLOOKUP(A123, '1C'!C:I, 7, 0),)</f>
        <v>0</v>
      </c>
      <c r="J123" s="91" t="str">
        <f ca="1">IFERROR(
  VLOOKUP(A123, '1C'!C:H, 6, 0),)</f>
        <v>8536 30 90 00</v>
      </c>
      <c r="K123" s="86"/>
      <c r="L123" s="92"/>
    </row>
    <row r="124" spans="1:12" ht="14.4">
      <c r="A124" s="88" t="str">
        <f ca="1">IFERROR(__xludf.DUMMYFUNCTION("iferror(IFERROR(
HYPERLINK(
  VLOOKUP(
    INDEX(UNIQUE(FLATTEN({'1C'!$X$2:X200,'1C'!$C$2:C200})), ROW(A122)), 
    '1C'!C:O, 13, 0),
  INDEX(UNIQUE(FLATTEN({'1C'!$X$2:X200,'1C'!$C$2:C200})), ROW(A122))),
MATCH(INDEX(UNIQUE(FLATTEN({'1C'!$X$2:X200,'1C'!$C"&amp;"$2:C200})), ROW(A122)), L$3:L200, 0)
),)"),"OPN-M (4S) 10KA")</f>
        <v>OPN-M (4S) 10KA</v>
      </c>
      <c r="B124" s="111">
        <f ca="1">IFERROR(
  VLOOKUP(A124, '1C'!C:F, 4, 0),)</f>
        <v>190</v>
      </c>
      <c r="C124" s="111">
        <f ca="1">IFERROR(
  VLOOKUP(A124, '1C'!C:AA, 25, 0),)</f>
        <v>190</v>
      </c>
      <c r="D124" s="80" t="str">
        <f ca="1">IFERROR(
  VLOOKUP(A124, '1C'!C:L, 10, 0),)</f>
        <v>4 moduły 380V; W: 10kA</v>
      </c>
      <c r="E124" s="81" t="str">
        <f ca="1">IFERROR(
  VLOOKUP(A124, '1C'!C:R, 16, 0),)</f>
        <v>DIN</v>
      </c>
      <c r="F124" s="82">
        <f ca="1">IFERROR(
  VLOOKUP(A124, '1C'!C:S, 17, 0),)</f>
        <v>4</v>
      </c>
      <c r="G124" s="83" t="str">
        <f ca="1">IFERROR(
  VLOOKUP(A124, '1C'!C:V, 20, 0),)</f>
        <v>-</v>
      </c>
      <c r="H124" s="81" t="str">
        <f ca="1">IFERROR(
  VLOOKUP(A124, '1C'!C:G, 5, 0),)</f>
        <v>NTOPN4S10</v>
      </c>
      <c r="I124" s="90">
        <f ca="1">IFERROR( VLOOKUP(A124, '1C'!C:I, 7, 0),)</f>
        <v>0</v>
      </c>
      <c r="J124" s="91" t="str">
        <f ca="1">IFERROR(
  VLOOKUP(A124, '1C'!C:H, 6, 0),)</f>
        <v>8536 30 90 00</v>
      </c>
      <c r="K124" s="86"/>
      <c r="L124" s="92"/>
    </row>
    <row r="125" spans="1:12" ht="14.4">
      <c r="A125" s="88" t="str">
        <f ca="1">IFERROR(__xludf.DUMMYFUNCTION("iferror(IFERROR(
HYPERLINK(
  VLOOKUP(
    INDEX(UNIQUE(FLATTEN({'1C'!$X$2:X200,'1C'!$C$2:C200})), ROW(A123)), 
    '1C'!C:O, 13, 0),
  INDEX(UNIQUE(FLATTEN({'1C'!$X$2:X200,'1C'!$C$2:C200})), ROW(A123))),
MATCH(INDEX(UNIQUE(FLATTEN({'1C'!$X$2:X200,'1C'!$C"&amp;"$2:C200})), ROW(A123)), L$3:L200, 0)
),)"),"OPN-M (4S) 20KA")</f>
        <v>OPN-M (4S) 20KA</v>
      </c>
      <c r="B125" s="111">
        <f ca="1">IFERROR(
  VLOOKUP(A125, '1C'!C:F, 4, 0),)</f>
        <v>190</v>
      </c>
      <c r="C125" s="111">
        <f ca="1">IFERROR(
  VLOOKUP(A125, '1C'!C:AA, 25, 0),)</f>
        <v>190</v>
      </c>
      <c r="D125" s="80" t="str">
        <f ca="1">IFERROR(
  VLOOKUP(A125, '1C'!C:L, 10, 0),)</f>
        <v>4 moduły 380V; W: 20kA</v>
      </c>
      <c r="E125" s="81" t="str">
        <f ca="1">IFERROR(
  VLOOKUP(A125, '1C'!C:R, 16, 0),)</f>
        <v>DIN</v>
      </c>
      <c r="F125" s="82">
        <f ca="1">IFERROR(
  VLOOKUP(A125, '1C'!C:S, 17, 0),)</f>
        <v>4</v>
      </c>
      <c r="G125" s="83" t="str">
        <f ca="1">IFERROR(
  VLOOKUP(A125, '1C'!C:V, 20, 0),)</f>
        <v>-</v>
      </c>
      <c r="H125" s="81" t="str">
        <f ca="1">IFERROR(
  VLOOKUP(A125, '1C'!C:G, 5, 0),)</f>
        <v>NTOPN4S20</v>
      </c>
      <c r="I125" s="90">
        <f ca="1">IFERROR( VLOOKUP(A125, '1C'!C:I, 7, 0),)</f>
        <v>0</v>
      </c>
      <c r="J125" s="91" t="str">
        <f ca="1">IFERROR(
  VLOOKUP(A125, '1C'!C:H, 6, 0),)</f>
        <v>8536 30 90 00</v>
      </c>
      <c r="K125" s="86"/>
      <c r="L125" s="92"/>
    </row>
    <row r="126" spans="1:12" ht="14.4">
      <c r="A126" s="88" t="str">
        <f ca="1">IFERROR(__xludf.DUMMYFUNCTION("iferror(IFERROR(
HYPERLINK(
  VLOOKUP(
    INDEX(UNIQUE(FLATTEN({'1C'!$X$2:X200,'1C'!$C$2:C200})), ROW(A124)), 
    '1C'!C:O, 13, 0),
  INDEX(UNIQUE(FLATTEN({'1C'!$X$2:X200,'1C'!$C$2:C200})), ROW(A124))),
MATCH(INDEX(UNIQUE(FLATTEN({'1C'!$X$2:X200,'1C'!$C"&amp;"$2:C200})), ROW(A124)), L$3:L200, 0)
),)"),"OPN-M (4S) 30KA")</f>
        <v>OPN-M (4S) 30KA</v>
      </c>
      <c r="B126" s="111">
        <f ca="1">IFERROR(
  VLOOKUP(A126, '1C'!C:F, 4, 0),)</f>
        <v>190</v>
      </c>
      <c r="C126" s="111">
        <f ca="1">IFERROR(
  VLOOKUP(A126, '1C'!C:AA, 25, 0),)</f>
        <v>190</v>
      </c>
      <c r="D126" s="80" t="str">
        <f ca="1">IFERROR(
  VLOOKUP(A126, '1C'!C:L, 10, 0),)</f>
        <v>4 moduły 380V; W: 30kA</v>
      </c>
      <c r="E126" s="81" t="str">
        <f ca="1">IFERROR(
  VLOOKUP(A126, '1C'!C:R, 16, 0),)</f>
        <v>DIN</v>
      </c>
      <c r="F126" s="82">
        <f ca="1">IFERROR(
  VLOOKUP(A126, '1C'!C:S, 17, 0),)</f>
        <v>4</v>
      </c>
      <c r="G126" s="83" t="str">
        <f ca="1">IFERROR(
  VLOOKUP(A126, '1C'!C:V, 20, 0),)</f>
        <v>-</v>
      </c>
      <c r="H126" s="81" t="str">
        <f ca="1">IFERROR(
  VLOOKUP(A126, '1C'!C:G, 5, 0),)</f>
        <v>NTOPN4S30</v>
      </c>
      <c r="I126" s="90">
        <f ca="1">IFERROR( VLOOKUP(A126, '1C'!C:I, 7, 0),)</f>
        <v>0</v>
      </c>
      <c r="J126" s="91" t="str">
        <f ca="1">IFERROR(
  VLOOKUP(A126, '1C'!C:H, 6, 0),)</f>
        <v>8536 30 90 00</v>
      </c>
      <c r="K126" s="86"/>
      <c r="L126" s="92"/>
    </row>
    <row r="127" spans="1:12" ht="14.4">
      <c r="A127" s="93" t="str">
        <f ca="1">IFERROR(__xludf.DUMMYFUNCTION("iferror(IFERROR(
HYPERLINK(
  VLOOKUP(
    INDEX(UNIQUE(FLATTEN({'1C'!$X$2:X200,'1C'!$C$2:C200})), ROW(A125)), 
    '1C'!C:O, 13, 0),
  INDEX(UNIQUE(FLATTEN({'1C'!$X$2:X200,'1C'!$C$2:C200})), ROW(A125))),
MATCH(INDEX(UNIQUE(FLATTEN({'1C'!$X$2:X200,'1C'!$C"&amp;"$2:C200})), ROW(A125)), L$3:L200, 0)
),)"),"Przekaźnik napięciowy jednofazowy (gniazdo wtykowe)")</f>
        <v>Przekaźnik napięciowy jednofazowy (gniazdo wtykowe)</v>
      </c>
      <c r="B127" s="111">
        <f ca="1">IFERROR(
  VLOOKUP(A127, '1C'!C:F, 4, 0),)</f>
        <v>0</v>
      </c>
      <c r="C127" s="111">
        <f ca="1">IFERROR(
  VLOOKUP(A127, '1C'!C:AA, 25, 0),)</f>
        <v>0</v>
      </c>
      <c r="D127" s="80">
        <f ca="1">IFERROR(
  VLOOKUP(A127, '1C'!C:L, 10, 0),)</f>
        <v>0</v>
      </c>
      <c r="E127" s="81">
        <f ca="1">IFERROR(
  VLOOKUP(A127, '1C'!C:R, 16, 0),)</f>
        <v>0</v>
      </c>
      <c r="F127" s="82">
        <f ca="1">IFERROR(
  VLOOKUP(A127, '1C'!C:S, 17, 0),)</f>
        <v>0</v>
      </c>
      <c r="G127" s="83">
        <f ca="1">IFERROR(
  VLOOKUP(A127, '1C'!C:V, 20, 0),)</f>
        <v>0</v>
      </c>
      <c r="H127" s="81">
        <f ca="1">IFERROR(
  VLOOKUP(A127, '1C'!C:G, 5, 0),)</f>
        <v>0</v>
      </c>
      <c r="I127" s="90">
        <f ca="1">IFERROR( VLOOKUP(A127, '1C'!C:I, 7, 0),)</f>
        <v>0</v>
      </c>
      <c r="J127" s="91">
        <f ca="1">IFERROR(
  VLOOKUP(A127, '1C'!C:H, 6, 0),)</f>
        <v>0</v>
      </c>
      <c r="K127" s="86"/>
      <c r="L127" s="92"/>
    </row>
    <row r="128" spans="1:12" ht="14.4">
      <c r="A128" s="88" t="str">
        <f ca="1">IFERROR(__xludf.DUMMYFUNCTION("iferror(IFERROR(
HYPERLINK(
  VLOOKUP(
    INDEX(UNIQUE(FLATTEN({'1C'!$X$2:X200,'1C'!$C$2:C200})), ROW(A126)), 
    '1C'!C:O, 13, 0),
  INDEX(UNIQUE(FLATTEN({'1C'!$X$2:X200,'1C'!$C$2:C200})), ROW(A126))),
MATCH(INDEX(UNIQUE(FLATTEN({'1C'!$X$2:X200,'1C'!$C"&amp;"$2:C200})), ROW(A126)), L$3:L200, 0)
),)"),"RN-101m")</f>
        <v>RN-101m</v>
      </c>
      <c r="B128" s="111" t="str">
        <f ca="1">IFERROR(
  VLOOKUP(A128, '1C'!C:F, 4, 0),)</f>
        <v>out of production</v>
      </c>
      <c r="C128" s="111" t="str">
        <f ca="1">IFERROR(
  VLOOKUP(A128, '1C'!C:AA, 25, 0),)</f>
        <v>out of production</v>
      </c>
      <c r="D128" s="80" t="str">
        <f ca="1">IFERROR(
  VLOOKUP(A128, '1C'!C:L, 10, 0),)</f>
        <v>W gniazdko wskazanie napięcia i prądu, prądu maszyny</v>
      </c>
      <c r="E128" s="81" t="str">
        <f ca="1">IFERROR(
  VLOOKUP(A128, '1C'!C:R, 16, 0),)</f>
        <v>gniazdo wtykowe</v>
      </c>
      <c r="F128" s="82" t="str">
        <f ca="1">IFERROR(
  VLOOKUP(A128, '1C'!C:S, 17, 0),)</f>
        <v>-</v>
      </c>
      <c r="G128" s="83" t="str">
        <f ca="1">IFERROR(
  VLOOKUP(A128, '1C'!C:V, 20, 0),)</f>
        <v>16А</v>
      </c>
      <c r="H128" s="81" t="str">
        <f ca="1">IFERROR(
  VLOOKUP(A128, '1C'!C:G, 5, 0),)</f>
        <v>NTRN101M0</v>
      </c>
      <c r="I128" s="90" t="str">
        <f ca="1">IFERROR( VLOOKUP(A128, '1C'!C:I, 7, 0),)</f>
        <v>-</v>
      </c>
      <c r="J128" s="91" t="str">
        <f ca="1">IFERROR(
  VLOOKUP(A128, '1C'!C:H, 6, 0),)</f>
        <v>8536 49 00 90</v>
      </c>
      <c r="K128" s="86"/>
      <c r="L128" s="92"/>
    </row>
    <row r="129" spans="1:12" ht="14.4">
      <c r="A129" s="88" t="str">
        <f ca="1">IFERROR(__xludf.DUMMYFUNCTION("iferror(IFERROR(
HYPERLINK(
  VLOOKUP(
    INDEX(UNIQUE(FLATTEN({'1C'!$X$2:X200,'1C'!$C$2:C200})), ROW(A127)), 
    '1C'!C:O, 13, 0),
  INDEX(UNIQUE(FLATTEN({'1C'!$X$2:X200,'1C'!$C$2:C200})), ROW(A127))),
MATCH(INDEX(UNIQUE(FLATTEN({'1C'!$X$2:X200,'1C'!$C"&amp;"$2:C200})), ROW(A127)), L$3:L200, 0)
),)"),"RN-101m1")</f>
        <v>RN-101m1</v>
      </c>
      <c r="B129" s="111">
        <f ca="1">IFERROR(
  VLOOKUP(A129, '1C'!C:F, 4, 0),)</f>
        <v>105</v>
      </c>
      <c r="C129" s="111">
        <f ca="1">IFERROR(
  VLOOKUP(A129, '1C'!C:AA, 25, 0),)</f>
        <v>105</v>
      </c>
      <c r="D129" s="80" t="str">
        <f ca="1">IFERROR(
  VLOOKUP(A129, '1C'!C:L, 10, 0),)</f>
        <v>W gniazdko wskazanie napięcia i prądu, ograniczenie prądu</v>
      </c>
      <c r="E129" s="81" t="str">
        <f ca="1">IFERROR(
  VLOOKUP(A129, '1C'!C:R, 16, 0),)</f>
        <v>gniazdo wtykowe</v>
      </c>
      <c r="F129" s="82" t="str">
        <f ca="1">IFERROR(
  VLOOKUP(A129, '1C'!C:S, 17, 0),)</f>
        <v>-</v>
      </c>
      <c r="G129" s="83" t="str">
        <f ca="1">IFERROR(
  VLOOKUP(A129, '1C'!C:V, 20, 0),)</f>
        <v>16А</v>
      </c>
      <c r="H129" s="81" t="str">
        <f ca="1">IFERROR(
  VLOOKUP(A129, '1C'!C:G, 5, 0),)</f>
        <v>NTRN101M1</v>
      </c>
      <c r="I129" s="90">
        <f ca="1">IFERROR( VLOOKUP(A129, '1C'!C:I, 7, 0),)</f>
        <v>4820122950016</v>
      </c>
      <c r="J129" s="91" t="str">
        <f ca="1">IFERROR(
  VLOOKUP(A129, '1C'!C:H, 6, 0),)</f>
        <v>8536 49 00 90</v>
      </c>
      <c r="K129" s="86"/>
      <c r="L129" s="92"/>
    </row>
    <row r="130" spans="1:12" ht="14.4">
      <c r="A130" s="93" t="str">
        <f ca="1">IFERROR(__xludf.DUMMYFUNCTION("iferror(IFERROR(
HYPERLINK(
  VLOOKUP(
    INDEX(UNIQUE(FLATTEN({'1C'!$X$2:X200,'1C'!$C$2:C200})), ROW(A128)), 
    '1C'!C:O, 13, 0),
  INDEX(UNIQUE(FLATTEN({'1C'!$X$2:X200,'1C'!$C$2:C200})), ROW(A128))),
MATCH(INDEX(UNIQUE(FLATTEN({'1C'!$X$2:X200,'1C'!$C"&amp;"$2:C200})), ROW(A128)), L$3:L200, 0)
),)"),"RN-122")</f>
        <v>RN-122</v>
      </c>
      <c r="B130" s="111">
        <f ca="1">IFERROR(
  VLOOKUP(A130, '1C'!C:F, 4, 0),)</f>
        <v>85</v>
      </c>
      <c r="C130" s="111">
        <f ca="1">IFERROR(
  VLOOKUP(A130, '1C'!C:AA, 25, 0),)</f>
        <v>85</v>
      </c>
      <c r="D130" s="80" t="str">
        <f ca="1">IFERROR(
  VLOOKUP(A130, '1C'!C:L, 10, 0),)</f>
        <v>W gniazdko sygnalizacja, sterowanie przyciskiem</v>
      </c>
      <c r="E130" s="81" t="str">
        <f ca="1">IFERROR(
  VLOOKUP(A130, '1C'!C:R, 16, 0),)</f>
        <v>gniazdo wtykowe</v>
      </c>
      <c r="F130" s="82" t="str">
        <f ca="1">IFERROR(
  VLOOKUP(A130, '1C'!C:S, 17, 0),)</f>
        <v>-</v>
      </c>
      <c r="G130" s="83" t="str">
        <f ca="1">IFERROR(
  VLOOKUP(A130, '1C'!C:V, 20, 0),)</f>
        <v>16А</v>
      </c>
      <c r="H130" s="81" t="str">
        <f ca="1">IFERROR(
  VLOOKUP(A130, '1C'!C:G, 5, 0),)</f>
        <v>NTRN12200</v>
      </c>
      <c r="I130" s="90">
        <f ca="1">IFERROR( VLOOKUP(A130, '1C'!C:I, 7, 0),)</f>
        <v>4820122950207</v>
      </c>
      <c r="J130" s="91" t="str">
        <f ca="1">IFERROR(
  VLOOKUP(A130, '1C'!C:H, 6, 0),)</f>
        <v>8536 49 00 90</v>
      </c>
      <c r="K130" s="86"/>
      <c r="L130" s="92"/>
    </row>
    <row r="131" spans="1:12" ht="14.4">
      <c r="A131" s="88" t="str">
        <f ca="1">IFERROR(__xludf.DUMMYFUNCTION("iferror(IFERROR(
HYPERLINK(
  VLOOKUP(
    INDEX(UNIQUE(FLATTEN({'1C'!$X$2:X200,'1C'!$C$2:C200})), ROW(A129)), 
    '1C'!C:O, 13, 0),
  INDEX(UNIQUE(FLATTEN({'1C'!$X$2:X200,'1C'!$C$2:C200})), ROW(A129))),
MATCH(INDEX(UNIQUE(FLATTEN({'1C'!$X$2:X200,'1C'!$C"&amp;"$2:C200})), ROW(A129)), L$3:L200, 0)
),)"),"RN-116")</f>
        <v>RN-116</v>
      </c>
      <c r="B131" s="111">
        <f ca="1">IFERROR(
  VLOOKUP(A131, '1C'!C:F, 4, 0),)</f>
        <v>75</v>
      </c>
      <c r="C131" s="111">
        <f ca="1">IFERROR(
  VLOOKUP(A131, '1C'!C:AA, 25, 0),)</f>
        <v>75</v>
      </c>
      <c r="D131" s="80" t="str">
        <f ca="1">IFERROR(
  VLOOKUP(A131, '1C'!C:L, 10, 0),)</f>
        <v>W gniazdko wskazanie, potencjometry</v>
      </c>
      <c r="E131" s="81" t="str">
        <f ca="1">IFERROR(
  VLOOKUP(A131, '1C'!C:R, 16, 0),)</f>
        <v>gniazdo wtykowe</v>
      </c>
      <c r="F131" s="82" t="str">
        <f ca="1">IFERROR(
  VLOOKUP(A131, '1C'!C:S, 17, 0),)</f>
        <v>-</v>
      </c>
      <c r="G131" s="83" t="str">
        <f ca="1">IFERROR(
  VLOOKUP(A131, '1C'!C:V, 20, 0),)</f>
        <v>16А</v>
      </c>
      <c r="H131" s="81" t="str">
        <f ca="1">IFERROR(
  VLOOKUP(A131, '1C'!C:G, 5, 0),)</f>
        <v>NTRN11600</v>
      </c>
      <c r="I131" s="90">
        <f ca="1">IFERROR( VLOOKUP(A131, '1C'!C:I, 7, 0),)</f>
        <v>4820122950047</v>
      </c>
      <c r="J131" s="91" t="str">
        <f ca="1">IFERROR(
  VLOOKUP(A131, '1C'!C:H, 6, 0),)</f>
        <v>8536 49 00 90</v>
      </c>
      <c r="K131" s="86"/>
      <c r="L131" s="92"/>
    </row>
    <row r="132" spans="1:12" ht="14.4">
      <c r="A132" s="93" t="str">
        <f ca="1">IFERROR(__xludf.DUMMYFUNCTION("iferror(IFERROR(
HYPERLINK(
  VLOOKUP(
    INDEX(UNIQUE(FLATTEN({'1C'!$X$2:X200,'1C'!$C$2:C200})), ROW(A130)), 
    '1C'!C:O, 13, 0),
  INDEX(UNIQUE(FLATTEN({'1C'!$X$2:X200,'1C'!$C$2:C200})), ROW(A130))),
MATCH(INDEX(UNIQUE(FLATTEN({'1C'!$X$2:X200,'1C'!$C"&amp;"$2:C200})), ROW(A130)), L$3:L200, 0)
),)"),"VC-115")</f>
        <v>VC-115</v>
      </c>
      <c r="B132" s="111">
        <f ca="1">IFERROR(
  VLOOKUP(A132, '1C'!C:F, 4, 0),)</f>
        <v>80</v>
      </c>
      <c r="C132" s="111">
        <f ca="1">IFERROR(
  VLOOKUP(A132, '1C'!C:AA, 25, 0),)</f>
        <v>80</v>
      </c>
      <c r="D132" s="80" t="str">
        <f ca="1">IFERROR(
  VLOOKUP(A132, '1C'!C:L, 10, 0),)</f>
        <v>W gniazdko wskazanie, potencjometry</v>
      </c>
      <c r="E132" s="81" t="str">
        <f ca="1">IFERROR(
  VLOOKUP(A132, '1C'!C:R, 16, 0),)</f>
        <v>gniazdo wtykowe</v>
      </c>
      <c r="F132" s="82" t="str">
        <f ca="1">IFERROR(
  VLOOKUP(A132, '1C'!C:S, 17, 0),)</f>
        <v>-</v>
      </c>
      <c r="G132" s="83" t="str">
        <f ca="1">IFERROR(
  VLOOKUP(A132, '1C'!C:V, 20, 0),)</f>
        <v>16А</v>
      </c>
      <c r="H132" s="81" t="str">
        <f ca="1">IFERROR(
  VLOOKUP(A132, '1C'!C:G, 5, 0),)</f>
        <v>NTRN115VC</v>
      </c>
      <c r="I132" s="90">
        <f ca="1">IFERROR( VLOOKUP(A132, '1C'!C:I, 7, 0),)</f>
        <v>4820122950177</v>
      </c>
      <c r="J132" s="91" t="str">
        <f ca="1">IFERROR(
  VLOOKUP(A132, '1C'!C:H, 6, 0),)</f>
        <v>8536 49 00 90</v>
      </c>
      <c r="K132" s="86"/>
      <c r="L132" s="92"/>
    </row>
    <row r="133" spans="1:12" ht="14.4">
      <c r="A133" s="88" t="str">
        <f ca="1">IFERROR(__xludf.DUMMYFUNCTION("iferror(IFERROR(
HYPERLINK(
  VLOOKUP(
    INDEX(UNIQUE(FLATTEN({'1C'!$X$2:X200,'1C'!$C$2:C200})), ROW(A131)), 
    '1C'!C:O, 13, 0),
  INDEX(UNIQUE(FLATTEN({'1C'!$X$2:X200,'1C'!$C$2:C200})), ROW(A131))),
MATCH(INDEX(UNIQUE(FLATTEN({'1C'!$X$2:X200,'1C'!$C"&amp;"$2:C200})), ROW(A131)), L$3:L200, 0)
),)"),"RN-117")</f>
        <v>RN-117</v>
      </c>
      <c r="B133" s="111">
        <f ca="1">IFERROR(
  VLOOKUP(A133, '1C'!C:F, 4, 0),)</f>
        <v>70</v>
      </c>
      <c r="C133" s="111">
        <f ca="1">IFERROR(
  VLOOKUP(A133, '1C'!C:AA, 25, 0),)</f>
        <v>70</v>
      </c>
      <c r="D133" s="80" t="str">
        <f ca="1">IFERROR(
  VLOOKUP(A133, '1C'!C:L, 10, 0),)</f>
        <v>Wbudowane ustawienia</v>
      </c>
      <c r="E133" s="81" t="str">
        <f ca="1">IFERROR(
  VLOOKUP(A133, '1C'!C:R, 16, 0),)</f>
        <v>gniazdo wtykowe</v>
      </c>
      <c r="F133" s="82" t="str">
        <f ca="1">IFERROR(
  VLOOKUP(A133, '1C'!C:S, 17, 0),)</f>
        <v>-</v>
      </c>
      <c r="G133" s="83" t="str">
        <f ca="1">IFERROR(
  VLOOKUP(A133, '1C'!C:V, 20, 0),)</f>
        <v>16А</v>
      </c>
      <c r="H133" s="81" t="str">
        <f ca="1">IFERROR(
  VLOOKUP(A133, '1C'!C:G, 5, 0),)</f>
        <v>NTRN11700</v>
      </c>
      <c r="I133" s="90">
        <f ca="1">IFERROR( VLOOKUP(A133, '1C'!C:I, 7, 0),)</f>
        <v>4820122950030</v>
      </c>
      <c r="J133" s="91" t="str">
        <f ca="1">IFERROR(
  VLOOKUP(A133, '1C'!C:H, 6, 0),)</f>
        <v>8536 49 00 90</v>
      </c>
      <c r="K133" s="86"/>
      <c r="L133" s="92"/>
    </row>
    <row r="134" spans="1:12" ht="14.4">
      <c r="A134" s="88" t="str">
        <f ca="1">IFERROR(__xludf.DUMMYFUNCTION("iferror(IFERROR(
HYPERLINK(
  VLOOKUP(
    INDEX(UNIQUE(FLATTEN({'1C'!$X$2:X200,'1C'!$C$2:C200})), ROW(A132)), 
    '1C'!C:O, 13, 0),
  INDEX(UNIQUE(FLATTEN({'1C'!$X$2:X200,'1C'!$C$2:C200})), ROW(A132))),
MATCH(INDEX(UNIQUE(FLATTEN({'1C'!$X$2:X200,'1C'!$C"&amp;"$2:C200})), ROW(A132)), L$3:L200, 0)
),)"),"EM-125")</f>
        <v>EM-125</v>
      </c>
      <c r="B134" s="111">
        <f ca="1">IFERROR(
  VLOOKUP(A134, '1C'!C:F, 4, 0),)</f>
        <v>295</v>
      </c>
      <c r="C134" s="111">
        <f ca="1">IFERROR(
  VLOOKUP(A134, '1C'!C:AA, 25, 0),)</f>
        <v>295</v>
      </c>
      <c r="D134" s="80" t="str">
        <f ca="1">IFERROR(
  VLOOKUP(A134, '1C'!C:L, 10, 0),)</f>
        <v>Wielofunkcyjny timer Wi-Fi z przekaźnikiem napięciowym, ograniczeniem mocy i prądu</v>
      </c>
      <c r="E134" s="81" t="str">
        <f ca="1">IFERROR(
  VLOOKUP(A134, '1C'!C:R, 16, 0),)</f>
        <v>gniazdo wtykowe</v>
      </c>
      <c r="F134" s="82" t="str">
        <f ca="1">IFERROR(
  VLOOKUP(A134, '1C'!C:S, 17, 0),)</f>
        <v>-</v>
      </c>
      <c r="G134" s="83" t="str">
        <f ca="1">IFERROR(
  VLOOKUP(A134, '1C'!C:V, 20, 0),)</f>
        <v>16А</v>
      </c>
      <c r="H134" s="81" t="str">
        <f ca="1">IFERROR(
  VLOOKUP(A134, '1C'!C:G, 5, 0),)</f>
        <v>NTRN125S0</v>
      </c>
      <c r="I134" s="90">
        <f ca="1">IFERROR( VLOOKUP(A134, '1C'!C:I, 7, 0),)</f>
        <v>4820122950283</v>
      </c>
      <c r="J134" s="91" t="str">
        <f ca="1">IFERROR(
  VLOOKUP(A134, '1C'!C:H, 6, 0),)</f>
        <v>8536 49 00 90</v>
      </c>
      <c r="K134" s="86"/>
      <c r="L134" s="92"/>
    </row>
    <row r="135" spans="1:12" ht="14.4">
      <c r="A135" s="88" t="str">
        <f ca="1">IFERROR(__xludf.DUMMYFUNCTION("iferror(IFERROR(
HYPERLINK(
  VLOOKUP(
    INDEX(UNIQUE(FLATTEN({'1C'!$X$2:X200,'1C'!$C$2:C200})), ROW(A133)), 
    '1C'!C:O, 13, 0),
  INDEX(UNIQUE(FLATTEN({'1C'!$X$2:X200,'1C'!$C$2:C200})), ROW(A133))),
MATCH(INDEX(UNIQUE(FLATTEN({'1C'!$X$2:X200,'1C'!$C"&amp;"$2:C200})), ROW(A133)), L$3:L200, 0)
),)"),"EM-126T-1")</f>
        <v>EM-126T-1</v>
      </c>
      <c r="B135" s="111">
        <f ca="1">IFERROR(
  VLOOKUP(A135, '1C'!C:F, 4, 0),)</f>
        <v>300</v>
      </c>
      <c r="C135" s="111">
        <f ca="1">IFERROR(
  VLOOKUP(A135, '1C'!C:AA, 25, 0),)</f>
        <v>300</v>
      </c>
      <c r="D135" s="80" t="str">
        <f ca="1">IFERROR(
  VLOOKUP(A135, '1C'!C:L, 10, 0),)</f>
        <v>Wielofunkcyjny timer Wi-Fi z przekaźnikiem, limitem mocy i prądu oraz 10cm czujnikiem temperatury</v>
      </c>
      <c r="E135" s="81" t="str">
        <f ca="1">IFERROR(
  VLOOKUP(A135, '1C'!C:R, 16, 0),)</f>
        <v>gniazdo wtykowe</v>
      </c>
      <c r="F135" s="82" t="str">
        <f ca="1">IFERROR(
  VLOOKUP(A135, '1C'!C:S, 17, 0),)</f>
        <v>-</v>
      </c>
      <c r="G135" s="83" t="str">
        <f ca="1">IFERROR(
  VLOOKUP(A135, '1C'!C:V, 20, 0),)</f>
        <v>16А</v>
      </c>
      <c r="H135" s="81" t="str">
        <f ca="1">IFERROR(
  VLOOKUP(A135, '1C'!C:G, 5, 0),)</f>
        <v>NTRN126S1</v>
      </c>
      <c r="I135" s="90">
        <f ca="1">IFERROR( VLOOKUP(A135, '1C'!C:I, 7, 0),)</f>
        <v>4820122950290</v>
      </c>
      <c r="J135" s="91" t="str">
        <f ca="1">IFERROR(
  VLOOKUP(A135, '1C'!C:H, 6, 0),)</f>
        <v>8536 49 00 90</v>
      </c>
      <c r="K135" s="86"/>
      <c r="L135" s="92"/>
    </row>
    <row r="136" spans="1:12" ht="26.4">
      <c r="A136" s="88" t="str">
        <f ca="1">IFERROR(__xludf.DUMMYFUNCTION("iferror(IFERROR(
HYPERLINK(
  VLOOKUP(
    INDEX(UNIQUE(FLATTEN({'1C'!$X$2:X200,'1C'!$C$2:C200})), ROW(A134)), 
    '1C'!C:O, 13, 0),
  INDEX(UNIQUE(FLATTEN({'1C'!$X$2:X200,'1C'!$C$2:C200})), ROW(A134))),
MATCH(INDEX(UNIQUE(FLATTEN({'1C'!$X$2:X200,'1C'!$C"&amp;"$2:C200})), ROW(A134)), L$3:L200, 0)
),)"),"EM-126T-2")</f>
        <v>EM-126T-2</v>
      </c>
      <c r="B136" s="111">
        <f ca="1">IFERROR(
  VLOOKUP(A136, '1C'!C:F, 4, 0),)</f>
        <v>300</v>
      </c>
      <c r="C136" s="111">
        <f ca="1">IFERROR(
  VLOOKUP(A136, '1C'!C:AA, 25, 0),)</f>
        <v>300</v>
      </c>
      <c r="D136" s="80" t="str">
        <f ca="1">IFERROR(
  VLOOKUP(A136, '1C'!C:L, 10, 0),)</f>
        <v>Wielofunkcyjny timer Wi-Fi z przekaźnikiem, ograniczeniem mocy i prądu oraz 1,8 m czujnikiem temperatury</v>
      </c>
      <c r="E136" s="81" t="str">
        <f ca="1">IFERROR(
  VLOOKUP(A136, '1C'!C:R, 16, 0),)</f>
        <v>gniazdo wtykowe</v>
      </c>
      <c r="F136" s="82" t="str">
        <f ca="1">IFERROR(
  VLOOKUP(A136, '1C'!C:S, 17, 0),)</f>
        <v>-</v>
      </c>
      <c r="G136" s="83" t="str">
        <f ca="1">IFERROR(
  VLOOKUP(A136, '1C'!C:V, 20, 0),)</f>
        <v>16А</v>
      </c>
      <c r="H136" s="81" t="str">
        <f ca="1">IFERROR(
  VLOOKUP(A136, '1C'!C:G, 5, 0),)</f>
        <v>NTRN126S2</v>
      </c>
      <c r="I136" s="90">
        <f ca="1">IFERROR( VLOOKUP(A136, '1C'!C:I, 7, 0),)</f>
        <v>4820122950306</v>
      </c>
      <c r="J136" s="91" t="str">
        <f ca="1">IFERROR(
  VLOOKUP(A136, '1C'!C:H, 6, 0),)</f>
        <v>8536 49 00 90</v>
      </c>
      <c r="K136" s="86"/>
      <c r="L136" s="92"/>
    </row>
    <row r="137" spans="1:12" ht="14.4">
      <c r="A137" s="93" t="str">
        <f ca="1">IFERROR(__xludf.DUMMYFUNCTION("iferror(IFERROR(
HYPERLINK(
  VLOOKUP(
    INDEX(UNIQUE(FLATTEN({'1C'!$X$2:X200,'1C'!$C$2:C200})), ROW(A135)), 
    '1C'!C:O, 13, 0),
  INDEX(UNIQUE(FLATTEN({'1C'!$X$2:X200,'1C'!$C$2:C200})), ROW(A135))),
MATCH(INDEX(UNIQUE(FLATTEN({'1C'!$X$2:X200,'1C'!$C"&amp;"$2:C200})), ROW(A135)), L$3:L200, 0)
),)"),"Przekaźniki napięciowe jednofazowe (szyna DIN)")</f>
        <v>Przekaźniki napięciowe jednofazowe (szyna DIN)</v>
      </c>
      <c r="B137" s="111">
        <f ca="1">IFERROR(
  VLOOKUP(A137, '1C'!C:F, 4, 0),)</f>
        <v>0</v>
      </c>
      <c r="C137" s="111">
        <f ca="1">IFERROR(
  VLOOKUP(A137, '1C'!C:AA, 25, 0),)</f>
        <v>0</v>
      </c>
      <c r="D137" s="80">
        <f ca="1">IFERROR(
  VLOOKUP(A137, '1C'!C:L, 10, 0),)</f>
        <v>0</v>
      </c>
      <c r="E137" s="81">
        <f ca="1">IFERROR(
  VLOOKUP(A137, '1C'!C:R, 16, 0),)</f>
        <v>0</v>
      </c>
      <c r="F137" s="82">
        <f ca="1">IFERROR(
  VLOOKUP(A137, '1C'!C:S, 17, 0),)</f>
        <v>0</v>
      </c>
      <c r="G137" s="83">
        <f ca="1">IFERROR(
  VLOOKUP(A137, '1C'!C:V, 20, 0),)</f>
        <v>0</v>
      </c>
      <c r="H137" s="81">
        <f ca="1">IFERROR(
  VLOOKUP(A137, '1C'!C:G, 5, 0),)</f>
        <v>0</v>
      </c>
      <c r="I137" s="90">
        <f ca="1">IFERROR( VLOOKUP(A137, '1C'!C:I, 7, 0),)</f>
        <v>0</v>
      </c>
      <c r="J137" s="91">
        <f ca="1">IFERROR(
  VLOOKUP(A137, '1C'!C:H, 6, 0),)</f>
        <v>0</v>
      </c>
      <c r="K137" s="86"/>
      <c r="L137" s="92"/>
    </row>
    <row r="138" spans="1:12" ht="14.4">
      <c r="A138" s="88" t="str">
        <f ca="1">IFERROR(__xludf.DUMMYFUNCTION("iferror(IFERROR(
HYPERLINK(
  VLOOKUP(
    INDEX(UNIQUE(FLATTEN({'1C'!$X$2:X200,'1C'!$C$2:C200})), ROW(A136)), 
    '1C'!C:O, 13, 0),
  INDEX(UNIQUE(FLATTEN({'1C'!$X$2:X200,'1C'!$C$2:C200})), ROW(A136))),
MATCH(INDEX(UNIQUE(FLATTEN({'1C'!$X$2:X200,'1C'!$C"&amp;"$2:C200})), ROW(A136)), L$3:L200, 0)
),)"),"RN-102")</f>
        <v>RN-102</v>
      </c>
      <c r="B138" s="111">
        <f ca="1">IFERROR(
  VLOOKUP(A138, '1C'!C:F, 4, 0),)</f>
        <v>135</v>
      </c>
      <c r="C138" s="111">
        <f ca="1">IFERROR(
  VLOOKUP(A138, '1C'!C:AA, 25, 0),)</f>
        <v>135</v>
      </c>
      <c r="D138" s="80" t="str">
        <f ca="1">IFERROR(
  VLOOKUP(A138, '1C'!C:L, 10, 0),)</f>
        <v>Wykonanie ścienne</v>
      </c>
      <c r="E138" s="81" t="str">
        <f ca="1">IFERROR(
  VLOOKUP(A138, '1C'!C:R, 16, 0),)</f>
        <v>ściana</v>
      </c>
      <c r="F138" s="82" t="str">
        <f ca="1">IFERROR(
  VLOOKUP(A138, '1C'!C:S, 17, 0),)</f>
        <v>-</v>
      </c>
      <c r="G138" s="83" t="str">
        <f ca="1">IFERROR(
  VLOOKUP(A138, '1C'!C:V, 20, 0),)</f>
        <v>32А</v>
      </c>
      <c r="H138" s="81" t="str">
        <f ca="1">IFERROR(
  VLOOKUP(A138, '1C'!C:G, 5, 0),)</f>
        <v>NTRN10200</v>
      </c>
      <c r="I138" s="90" t="str">
        <f ca="1">IFERROR( VLOOKUP(A138, '1C'!C:I, 7, 0),)</f>
        <v>-</v>
      </c>
      <c r="J138" s="91" t="str">
        <f ca="1">IFERROR(
  VLOOKUP(A138, '1C'!C:H, 6, 0),)</f>
        <v>8536 49 00 90</v>
      </c>
      <c r="K138" s="86"/>
      <c r="L138" s="92"/>
    </row>
    <row r="139" spans="1:12" ht="14.4">
      <c r="A139" s="93" t="str">
        <f ca="1">IFERROR(__xludf.DUMMYFUNCTION("iferror(IFERROR(
HYPERLINK(
  VLOOKUP(
    INDEX(UNIQUE(FLATTEN({'1C'!$X$2:X200,'1C'!$C$2:C200})), ROW(A137)), 
    '1C'!C:O, 13, 0),
  INDEX(UNIQUE(FLATTEN({'1C'!$X$2:X200,'1C'!$C$2:C200})), ROW(A137))),
MATCH(INDEX(UNIQUE(FLATTEN({'1C'!$X$2:X200,'1C'!$C"&amp;"$2:C200})), ROW(A137)), L$3:L200, 0)
),)"),"RN-11")</f>
        <v>RN-11</v>
      </c>
      <c r="B139" s="111">
        <f ca="1">IFERROR(
  VLOOKUP(A139, '1C'!C:F, 4, 0),)</f>
        <v>75</v>
      </c>
      <c r="C139" s="111">
        <f ca="1">IFERROR(
  VLOOKUP(A139, '1C'!C:AA, 25, 0),)</f>
        <v>75</v>
      </c>
      <c r="D139" s="80" t="str">
        <f ca="1">IFERROR(
  VLOOKUP(A139, '1C'!C:L, 10, 0),)</f>
        <v>Cyfrowy woltomierz 220 V</v>
      </c>
      <c r="E139" s="81" t="str">
        <f ca="1">IFERROR(
  VLOOKUP(A139, '1C'!C:R, 16, 0),)</f>
        <v>DIN</v>
      </c>
      <c r="F139" s="82">
        <f ca="1">IFERROR(
  VLOOKUP(A139, '1C'!C:S, 17, 0),)</f>
        <v>2</v>
      </c>
      <c r="G139" s="83" t="str">
        <f ca="1">IFERROR(
  VLOOKUP(A139, '1C'!C:V, 20, 0),)</f>
        <v>-</v>
      </c>
      <c r="H139" s="81" t="str">
        <f ca="1">IFERROR(
  VLOOKUP(A139, '1C'!C:G, 5, 0),)</f>
        <v>NTRN11000</v>
      </c>
      <c r="I139" s="90">
        <f ca="1">IFERROR( VLOOKUP(A139, '1C'!C:I, 7, 0),)</f>
        <v>0</v>
      </c>
      <c r="J139" s="91" t="str">
        <f ca="1">IFERROR(
  VLOOKUP(A139, '1C'!C:H, 6, 0),)</f>
        <v>8536 49 00 90</v>
      </c>
      <c r="K139" s="86"/>
      <c r="L139" s="92"/>
    </row>
    <row r="140" spans="1:12" ht="14.4">
      <c r="A140" s="88" t="str">
        <f ca="1">IFERROR(__xludf.DUMMYFUNCTION("iferror(IFERROR(
HYPERLINK(
  VLOOKUP(
    INDEX(UNIQUE(FLATTEN({'1C'!$X$2:X200,'1C'!$C$2:C200})), ROW(A138)), 
    '1C'!C:O, 13, 0),
  INDEX(UNIQUE(FLATTEN({'1C'!$X$2:X200,'1C'!$C$2:C200})), ROW(A138))),
MATCH(INDEX(UNIQUE(FLATTEN({'1C'!$X$2:X200,'1C'!$C"&amp;"$2:C200})), ROW(A138)), L$3:L200, 0)
),)"),"RN-111m")</f>
        <v>RN-111m</v>
      </c>
      <c r="B140" s="111">
        <f ca="1">IFERROR(
  VLOOKUP(A140, '1C'!C:F, 4, 0),)</f>
        <v>135</v>
      </c>
      <c r="C140" s="111">
        <f ca="1">IFERROR(
  VLOOKUP(A140, '1C'!C:AA, 25, 0),)</f>
        <v>135</v>
      </c>
      <c r="D140" s="80" t="str">
        <f ca="1">IFERROR(
  VLOOKUP(A140, '1C'!C:L, 10, 0),)</f>
        <v>Wyłącz sterowanie Umin i Umax</v>
      </c>
      <c r="E140" s="81" t="str">
        <f ca="1">IFERROR(
  VLOOKUP(A140, '1C'!C:R, 16, 0),)</f>
        <v>DIN</v>
      </c>
      <c r="F140" s="82">
        <f ca="1">IFERROR(
  VLOOKUP(A140, '1C'!C:S, 17, 0),)</f>
        <v>2</v>
      </c>
      <c r="G140" s="83" t="str">
        <f ca="1">IFERROR(
  VLOOKUP(A140, '1C'!C:V, 20, 0),)</f>
        <v>16А</v>
      </c>
      <c r="H140" s="81" t="str">
        <f ca="1">IFERROR(
  VLOOKUP(A140, '1C'!C:G, 5, 0),)</f>
        <v>NTRN111M0</v>
      </c>
      <c r="I140" s="90">
        <f ca="1">IFERROR( VLOOKUP(A140, '1C'!C:I, 7, 0),)</f>
        <v>0</v>
      </c>
      <c r="J140" s="91" t="str">
        <f ca="1">IFERROR(
  VLOOKUP(A140, '1C'!C:H, 6, 0),)</f>
        <v>8536 49 00 90</v>
      </c>
      <c r="K140" s="86"/>
      <c r="L140" s="92"/>
    </row>
    <row r="141" spans="1:12" ht="14.4">
      <c r="A141" s="88" t="str">
        <f ca="1">IFERROR(__xludf.DUMMYFUNCTION("iferror(IFERROR(
HYPERLINK(
  VLOOKUP(
    INDEX(UNIQUE(FLATTEN({'1C'!$X$2:X200,'1C'!$C$2:C200})), ROW(A139)), 
    '1C'!C:O, 13, 0),
  INDEX(UNIQUE(FLATTEN({'1C'!$X$2:X200,'1C'!$C$2:C200})), ROW(A139))),
MATCH(INDEX(UNIQUE(FLATTEN({'1C'!$X$2:X200,'1C'!$C"&amp;"$2:C200})), ROW(A139)), L$3:L200, 0)
),)"),"RN-118")</f>
        <v>RN-118</v>
      </c>
      <c r="B141" s="111">
        <f ca="1">IFERROR(
  VLOOKUP(A141, '1C'!C:F, 4, 0),)</f>
        <v>110</v>
      </c>
      <c r="C141" s="111">
        <f ca="1">IFERROR(
  VLOOKUP(A141, '1C'!C:AA, 25, 0),)</f>
        <v>110</v>
      </c>
      <c r="D141" s="80" t="str">
        <f ca="1">IFERROR(
  VLOOKUP(A141, '1C'!C:L, 10, 0),)</f>
        <v>Sterowanie przyciskami, ustalanie napięcia przy wyłączaniu</v>
      </c>
      <c r="E141" s="81" t="str">
        <f ca="1">IFERROR(
  VLOOKUP(A141, '1C'!C:R, 16, 0),)</f>
        <v>DIN</v>
      </c>
      <c r="F141" s="82">
        <f ca="1">IFERROR(
  VLOOKUP(A141, '1C'!C:S, 17, 0),)</f>
        <v>1</v>
      </c>
      <c r="G141" s="83" t="str">
        <f ca="1">IFERROR(
  VLOOKUP(A141, '1C'!C:V, 20, 0),)</f>
        <v>10А</v>
      </c>
      <c r="H141" s="81" t="str">
        <f ca="1">IFERROR(
  VLOOKUP(A141, '1C'!C:G, 5, 0),)</f>
        <v>NTRN11800</v>
      </c>
      <c r="I141" s="90">
        <f ca="1">IFERROR( VLOOKUP(A141, '1C'!C:I, 7, 0),)</f>
        <v>4820122950214</v>
      </c>
      <c r="J141" s="91" t="str">
        <f ca="1">IFERROR(
  VLOOKUP(A141, '1C'!C:H, 6, 0),)</f>
        <v>8536 49 00 90</v>
      </c>
      <c r="K141" s="86"/>
      <c r="L141" s="92"/>
    </row>
    <row r="142" spans="1:12" ht="14.4">
      <c r="A142" s="88" t="str">
        <f ca="1">IFERROR(__xludf.DUMMYFUNCTION("iferror(IFERROR(
HYPERLINK(
  VLOOKUP(
    INDEX(UNIQUE(FLATTEN({'1C'!$X$2:X200,'1C'!$C$2:C200})), ROW(A140)), 
    '1C'!C:O, 13, 0),
  INDEX(UNIQUE(FLATTEN({'1C'!$X$2:X200,'1C'!$C$2:C200})), ROW(A140))),
MATCH(INDEX(UNIQUE(FLATTEN({'1C'!$X$2:X200,'1C'!$C"&amp;"$2:C200})), ROW(A140)), L$3:L200, 0)
),)"),"RN-119")</f>
        <v>RN-119</v>
      </c>
      <c r="B142" s="111">
        <f ca="1">IFERROR(
  VLOOKUP(A142, '1C'!C:F, 4, 0),)</f>
        <v>130</v>
      </c>
      <c r="C142" s="111">
        <f ca="1">IFERROR(
  VLOOKUP(A142, '1C'!C:AA, 25, 0),)</f>
        <v>130</v>
      </c>
      <c r="D142" s="80" t="str">
        <f ca="1">IFERROR(
  VLOOKUP(A142, '1C'!C:L, 10, 0),)</f>
        <v>Sterowanie przyciskami, ustalanie napięcia przy wyłączaniu</v>
      </c>
      <c r="E142" s="81" t="str">
        <f ca="1">IFERROR(
  VLOOKUP(A142, '1C'!C:R, 16, 0),)</f>
        <v>DIN</v>
      </c>
      <c r="F142" s="82">
        <f ca="1">IFERROR(
  VLOOKUP(A142, '1C'!C:S, 17, 0),)</f>
        <v>1</v>
      </c>
      <c r="G142" s="83" t="str">
        <f ca="1">IFERROR(
  VLOOKUP(A142, '1C'!C:V, 20, 0),)</f>
        <v>16А</v>
      </c>
      <c r="H142" s="81" t="str">
        <f ca="1">IFERROR(
  VLOOKUP(A142, '1C'!C:G, 5, 0),)</f>
        <v>NTRN11900</v>
      </c>
      <c r="I142" s="90">
        <f ca="1">IFERROR( VLOOKUP(A142, '1C'!C:I, 7, 0),)</f>
        <v>4820122950221</v>
      </c>
      <c r="J142" s="91" t="str">
        <f ca="1">IFERROR(
  VLOOKUP(A142, '1C'!C:H, 6, 0),)</f>
        <v>8536 49 00 90</v>
      </c>
      <c r="K142" s="86"/>
      <c r="L142" s="92"/>
    </row>
    <row r="143" spans="1:12" ht="14.4">
      <c r="A143" s="93" t="str">
        <f ca="1">IFERROR(__xludf.DUMMYFUNCTION("iferror(IFERROR(
HYPERLINK(
  VLOOKUP(
    INDEX(UNIQUE(FLATTEN({'1C'!$X$2:X200,'1C'!$C$2:C200})), ROW(A141)), 
    '1C'!C:O, 13, 0),
  INDEX(UNIQUE(FLATTEN({'1C'!$X$2:X200,'1C'!$C$2:C200})), ROW(A141))),
MATCH(INDEX(UNIQUE(FLATTEN({'1C'!$X$2:X200,'1C'!$C"&amp;"$2:C200})), ROW(A141)), L$3:L200, 0)
),)"),"RN-113")</f>
        <v>RN-113</v>
      </c>
      <c r="B143" s="111" t="str">
        <f ca="1">IFERROR(
  VLOOKUP(A143, '1C'!C:F, 4, 0),)</f>
        <v>out of production</v>
      </c>
      <c r="C143" s="111" t="str">
        <f ca="1">IFERROR(
  VLOOKUP(A143, '1C'!C:AA, 25, 0),)</f>
        <v>out of production</v>
      </c>
      <c r="D143" s="80" t="str">
        <f ca="1">IFERROR(
  VLOOKUP(A143, '1C'!C:L, 10, 0),)</f>
        <v>Wyłącz sterowanie Umin i Umax</v>
      </c>
      <c r="E143" s="81" t="str">
        <f ca="1">IFERROR(
  VLOOKUP(A143, '1C'!C:R, 16, 0),)</f>
        <v>gniazdo wtykowe</v>
      </c>
      <c r="F143" s="82">
        <f ca="1">IFERROR(
  VLOOKUP(A143, '1C'!C:S, 17, 0),)</f>
        <v>4</v>
      </c>
      <c r="G143" s="83" t="str">
        <f ca="1">IFERROR(
  VLOOKUP(A143, '1C'!C:V, 20, 0),)</f>
        <v>32А</v>
      </c>
      <c r="H143" s="81" t="str">
        <f ca="1">IFERROR(
  VLOOKUP(A143, '1C'!C:G, 5, 0),)</f>
        <v>NTRN11300</v>
      </c>
      <c r="I143" s="90" t="str">
        <f ca="1">IFERROR( VLOOKUP(A143, '1C'!C:I, 7, 0),)</f>
        <v>-</v>
      </c>
      <c r="J143" s="91" t="str">
        <f ca="1">IFERROR(
  VLOOKUP(A143, '1C'!C:H, 6, 0),)</f>
        <v>8536 49 00 90</v>
      </c>
      <c r="K143" s="86"/>
      <c r="L143" s="92"/>
    </row>
    <row r="144" spans="1:12" ht="14.4">
      <c r="A144" s="93" t="str">
        <f ca="1">IFERROR(__xludf.DUMMYFUNCTION("iferror(IFERROR(
HYPERLINK(
  VLOOKUP(
    INDEX(UNIQUE(FLATTEN({'1C'!$X$2:X200,'1C'!$C$2:C200})), ROW(A142)), 
    '1C'!C:O, 13, 0),
  INDEX(UNIQUE(FLATTEN({'1C'!$X$2:X200,'1C'!$C$2:C200})), ROW(A142))),
MATCH(INDEX(UNIQUE(FLATTEN({'1C'!$X$2:X200,'1C'!$C"&amp;"$2:C200})), ROW(A142)), L$3:L200, 0)
),)"),"RN-25t")</f>
        <v>RN-25t</v>
      </c>
      <c r="B144" s="111">
        <f ca="1">IFERROR(
  VLOOKUP(A144, '1C'!C:F, 4, 0),)</f>
        <v>110</v>
      </c>
      <c r="C144" s="111">
        <f ca="1">IFERROR(
  VLOOKUP(A144, '1C'!C:AA, 25, 0),)</f>
        <v>110</v>
      </c>
      <c r="D144" s="80" t="str">
        <f ca="1">IFERROR(
  VLOOKUP(A144, '1C'!C:L, 10, 0),)</f>
        <v>Zmodernizowany, z ochroną termiczną, górnymi i dolnymi zaciskami, dziennikiem wypadków</v>
      </c>
      <c r="E144" s="81" t="str">
        <f ca="1">IFERROR(
  VLOOKUP(A144, '1C'!C:R, 16, 0),)</f>
        <v>DIN</v>
      </c>
      <c r="F144" s="82">
        <f ca="1">IFERROR(
  VLOOKUP(A144, '1C'!C:S, 17, 0),)</f>
        <v>2</v>
      </c>
      <c r="G144" s="83" t="str">
        <f ca="1">IFERROR(
  VLOOKUP(A144, '1C'!C:V, 20, 0),)</f>
        <v>25А</v>
      </c>
      <c r="H144" s="81" t="str">
        <f ca="1">IFERROR(
  VLOOKUP(A144, '1C'!C:G, 5, 0),)</f>
        <v>NTRN02502</v>
      </c>
      <c r="I144" s="90">
        <f ca="1">IFERROR( VLOOKUP(A144, '1C'!C:I, 7, 0),)</f>
        <v>4820122950351</v>
      </c>
      <c r="J144" s="91" t="str">
        <f ca="1">IFERROR(
  VLOOKUP(A144, '1C'!C:H, 6, 0),)</f>
        <v>8536 49 00 90</v>
      </c>
      <c r="K144" s="86"/>
      <c r="L144" s="92"/>
    </row>
    <row r="145" spans="1:12" ht="14.4">
      <c r="A145" s="93" t="str">
        <f ca="1">IFERROR(__xludf.DUMMYFUNCTION("iferror(IFERROR(
HYPERLINK(
  VLOOKUP(
    INDEX(UNIQUE(FLATTEN({'1C'!$X$2:X200,'1C'!$C$2:C200})), ROW(A143)), 
    '1C'!C:O, 13, 0),
  INDEX(UNIQUE(FLATTEN({'1C'!$X$2:X200,'1C'!$C$2:C200})), ROW(A143))),
MATCH(INDEX(UNIQUE(FLATTEN({'1C'!$X$2:X200,'1C'!$C"&amp;"$2:C200})), ROW(A143)), L$3:L200, 0)
),)"),"RN-32t")</f>
        <v>RN-32t</v>
      </c>
      <c r="B145" s="111">
        <f ca="1">IFERROR(
  VLOOKUP(A145, '1C'!C:F, 4, 0),)</f>
        <v>115</v>
      </c>
      <c r="C145" s="111">
        <f ca="1">IFERROR(
  VLOOKUP(A145, '1C'!C:AA, 25, 0),)</f>
        <v>120</v>
      </c>
      <c r="D145" s="80" t="str">
        <f ca="1">IFERROR(
  VLOOKUP(A145, '1C'!C:L, 10, 0),)</f>
        <v>Zmodernizowany, z ochroną termiczną, górnymi i dolnymi zaciskami, dziennikiem wypadków</v>
      </c>
      <c r="E145" s="81" t="str">
        <f ca="1">IFERROR(
  VLOOKUP(A145, '1C'!C:R, 16, 0),)</f>
        <v>DIN</v>
      </c>
      <c r="F145" s="82">
        <f ca="1">IFERROR(
  VLOOKUP(A145, '1C'!C:S, 17, 0),)</f>
        <v>2</v>
      </c>
      <c r="G145" s="83" t="str">
        <f ca="1">IFERROR(
  VLOOKUP(A145, '1C'!C:V, 20, 0),)</f>
        <v>32А</v>
      </c>
      <c r="H145" s="81" t="str">
        <f ca="1">IFERROR(
  VLOOKUP(A145, '1C'!C:G, 5, 0),)</f>
        <v>NTRN03202</v>
      </c>
      <c r="I145" s="90">
        <f ca="1">IFERROR( VLOOKUP(A145, '1C'!C:I, 7, 0),)</f>
        <v>4820122950368</v>
      </c>
      <c r="J145" s="91" t="str">
        <f ca="1">IFERROR(
  VLOOKUP(A145, '1C'!C:H, 6, 0),)</f>
        <v>8536 49 00 90</v>
      </c>
      <c r="K145" s="86"/>
      <c r="L145" s="92"/>
    </row>
    <row r="146" spans="1:12" ht="26.4">
      <c r="A146" s="93" t="str">
        <f ca="1">IFERROR(__xludf.DUMMYFUNCTION("iferror(IFERROR(
HYPERLINK(
  VLOOKUP(
    INDEX(UNIQUE(FLATTEN({'1C'!$X$2:X200,'1C'!$C$2:C200})), ROW(A144)), 
    '1C'!C:O, 13, 0),
  INDEX(UNIQUE(FLATTEN({'1C'!$X$2:X200,'1C'!$C$2:C200})), ROW(A144))),
MATCH(INDEX(UNIQUE(FLATTEN({'1C'!$X$2:X200,'1C'!$C"&amp;"$2:C200})), ROW(A144)), L$3:L200, 0)
),)"),"RN-40tc")</f>
        <v>RN-40tc</v>
      </c>
      <c r="B146" s="111">
        <f ca="1">IFERROR(
  VLOOKUP(A146, '1C'!C:F, 4, 0),)</f>
        <v>130</v>
      </c>
      <c r="C146" s="111">
        <f ca="1">IFERROR(
  VLOOKUP(A146, '1C'!C:AA, 25, 0),)</f>
        <v>135</v>
      </c>
      <c r="D146" s="80" t="str">
        <f ca="1">IFERROR(
  VLOOKUP(A146, '1C'!C:L, 10, 0),)</f>
        <v>Zmodernizowany, z ochroną termiczną, górnymi i dolnymi zaciskami, dziennikiem wypadków, czujnikami temperatury na każdym zacisku</v>
      </c>
      <c r="E146" s="81" t="str">
        <f ca="1">IFERROR(
  VLOOKUP(A146, '1C'!C:R, 16, 0),)</f>
        <v>DIN</v>
      </c>
      <c r="F146" s="82">
        <f ca="1">IFERROR(
  VLOOKUP(A146, '1C'!C:S, 17, 0),)</f>
        <v>2</v>
      </c>
      <c r="G146" s="83" t="str">
        <f ca="1">IFERROR(
  VLOOKUP(A146, '1C'!C:V, 20, 0),)</f>
        <v>40А</v>
      </c>
      <c r="H146" s="81" t="str">
        <f ca="1">IFERROR(
  VLOOKUP(A146, '1C'!C:G, 5, 0),)</f>
        <v>NTRN04002</v>
      </c>
      <c r="I146" s="90">
        <f ca="1">IFERROR( VLOOKUP(A146, '1C'!C:I, 7, 0),)</f>
        <v>4820122950375</v>
      </c>
      <c r="J146" s="91" t="str">
        <f ca="1">IFERROR(
  VLOOKUP(A146, '1C'!C:H, 6, 0),)</f>
        <v>8536 49 00 90</v>
      </c>
      <c r="K146" s="86"/>
      <c r="L146" s="92"/>
    </row>
    <row r="147" spans="1:12" ht="26.4">
      <c r="A147" s="93" t="str">
        <f ca="1">IFERROR(__xludf.DUMMYFUNCTION("iferror(IFERROR(
HYPERLINK(
  VLOOKUP(
    INDEX(UNIQUE(FLATTEN({'1C'!$X$2:X200,'1C'!$C$2:C200})), ROW(A145)), 
    '1C'!C:O, 13, 0),
  INDEX(UNIQUE(FLATTEN({'1C'!$X$2:X200,'1C'!$C$2:C200})), ROW(A145))),
MATCH(INDEX(UNIQUE(FLATTEN({'1C'!$X$2:X200,'1C'!$C"&amp;"$2:C200})), ROW(A145)), L$3:L200, 0)
),)"),"RN-50tc")</f>
        <v>RN-50tc</v>
      </c>
      <c r="B147" s="111">
        <f ca="1">IFERROR(
  VLOOKUP(A147, '1C'!C:F, 4, 0),)</f>
        <v>140</v>
      </c>
      <c r="C147" s="111">
        <f ca="1">IFERROR(
  VLOOKUP(A147, '1C'!C:AA, 25, 0),)</f>
        <v>145</v>
      </c>
      <c r="D147" s="80" t="str">
        <f ca="1">IFERROR(
  VLOOKUP(A147, '1C'!C:L, 10, 0),)</f>
        <v>Zmodernizowany, z ochroną termiczną, górnymi i dolnymi zaciskami, dziennikiem wypadków, czujnikami temperatury na każdym zacisku</v>
      </c>
      <c r="E147" s="81" t="str">
        <f ca="1">IFERROR(
  VLOOKUP(A147, '1C'!C:R, 16, 0),)</f>
        <v>DIN</v>
      </c>
      <c r="F147" s="82">
        <f ca="1">IFERROR(
  VLOOKUP(A147, '1C'!C:S, 17, 0),)</f>
        <v>2</v>
      </c>
      <c r="G147" s="83" t="str">
        <f ca="1">IFERROR(
  VLOOKUP(A147, '1C'!C:V, 20, 0),)</f>
        <v>50А</v>
      </c>
      <c r="H147" s="81" t="str">
        <f ca="1">IFERROR(
  VLOOKUP(A147, '1C'!C:G, 5, 0),)</f>
        <v>NTRN05002</v>
      </c>
      <c r="I147" s="90">
        <f ca="1">IFERROR( VLOOKUP(A147, '1C'!C:I, 7, 0),)</f>
        <v>4820122950382</v>
      </c>
      <c r="J147" s="91" t="str">
        <f ca="1">IFERROR(
  VLOOKUP(A147, '1C'!C:H, 6, 0),)</f>
        <v>8536 49 00 90</v>
      </c>
      <c r="K147" s="86"/>
      <c r="L147" s="92"/>
    </row>
    <row r="148" spans="1:12" ht="26.4">
      <c r="A148" s="93" t="str">
        <f ca="1">IFERROR(__xludf.DUMMYFUNCTION("iferror(IFERROR(
HYPERLINK(
  VLOOKUP(
    INDEX(UNIQUE(FLATTEN({'1C'!$X$2:X200,'1C'!$C$2:C200})), ROW(A146)), 
    '1C'!C:O, 13, 0),
  INDEX(UNIQUE(FLATTEN({'1C'!$X$2:X200,'1C'!$C$2:C200})), ROW(A146))),
MATCH(INDEX(UNIQUE(FLATTEN({'1C'!$X$2:X200,'1C'!$C"&amp;"$2:C200})), ROW(A146)), L$3:L200, 0)
),)"),"RN-63tc")</f>
        <v>RN-63tc</v>
      </c>
      <c r="B148" s="111">
        <f ca="1">IFERROR(
  VLOOKUP(A148, '1C'!C:F, 4, 0),)</f>
        <v>155</v>
      </c>
      <c r="C148" s="111">
        <f ca="1">IFERROR(
  VLOOKUP(A148, '1C'!C:AA, 25, 0),)</f>
        <v>155</v>
      </c>
      <c r="D148" s="80" t="str">
        <f ca="1">IFERROR(
  VLOOKUP(A148, '1C'!C:L, 10, 0),)</f>
        <v>Zmodernizowany, z ochroną termiczną, górnymi i dolnymi zaciskami, dziennikiem wypadków, czujnikami temperatury na każdym zacisku</v>
      </c>
      <c r="E148" s="81" t="str">
        <f ca="1">IFERROR(
  VLOOKUP(A148, '1C'!C:R, 16, 0),)</f>
        <v>DIN</v>
      </c>
      <c r="F148" s="82">
        <f ca="1">IFERROR(
  VLOOKUP(A148, '1C'!C:S, 17, 0),)</f>
        <v>2</v>
      </c>
      <c r="G148" s="83" t="str">
        <f ca="1">IFERROR(
  VLOOKUP(A148, '1C'!C:V, 20, 0),)</f>
        <v>63А</v>
      </c>
      <c r="H148" s="81" t="str">
        <f ca="1">IFERROR(
  VLOOKUP(A148, '1C'!C:G, 5, 0),)</f>
        <v>NTRN06302</v>
      </c>
      <c r="I148" s="90">
        <f ca="1">IFERROR( VLOOKUP(A148, '1C'!C:I, 7, 0),)</f>
        <v>4820122950399</v>
      </c>
      <c r="J148" s="91" t="str">
        <f ca="1">IFERROR(
  VLOOKUP(A148, '1C'!C:H, 6, 0),)</f>
        <v>8536 49 00 90</v>
      </c>
      <c r="K148" s="86"/>
      <c r="L148" s="92"/>
    </row>
    <row r="149" spans="1:12" ht="14.4">
      <c r="A149" s="88" t="str">
        <f ca="1">IFERROR(__xludf.DUMMYFUNCTION("iferror(IFERROR(
HYPERLINK(
  VLOOKUP(
    INDEX(UNIQUE(FLATTEN({'1C'!$X$2:X200,'1C'!$C$2:C200})), ROW(A147)), 
    '1C'!C:O, 13, 0),
  INDEX(UNIQUE(FLATTEN({'1C'!$X$2:X200,'1C'!$C$2:C200})), ROW(A147))),
MATCH(INDEX(UNIQUE(FLATTEN({'1C'!$X$2:X200,'1C'!$C"&amp;"$2:C200})), ROW(A147)), L$3:L200, 0)
),)"),"PH-104")</f>
        <v>PH-104</v>
      </c>
      <c r="B149" s="111" t="str">
        <f ca="1">IFERROR(
  VLOOKUP(A149, '1C'!C:F, 4, 0),)</f>
        <v>out of production</v>
      </c>
      <c r="C149" s="111" t="str">
        <f ca="1">IFERROR(
  VLOOKUP(A149, '1C'!C:AA, 25, 0),)</f>
        <v>out of production</v>
      </c>
      <c r="D149" s="80" t="str">
        <f ca="1">IFERROR(
  VLOOKUP(A149, '1C'!C:L, 10, 0),)</f>
        <v>Jednofazowe, zaciski na dole, tylko przekaźniki napięciowe</v>
      </c>
      <c r="E149" s="81" t="str">
        <f ca="1">IFERROR(
  VLOOKUP(A149, '1C'!C:R, 16, 0),)</f>
        <v>DIN</v>
      </c>
      <c r="F149" s="82">
        <f ca="1">IFERROR(
  VLOOKUP(A149, '1C'!C:S, 17, 0),)</f>
        <v>3</v>
      </c>
      <c r="G149" s="83" t="str">
        <f ca="1">IFERROR(
  VLOOKUP(A149, '1C'!C:V, 20, 0),)</f>
        <v>40A</v>
      </c>
      <c r="H149" s="81" t="str">
        <f ca="1">IFERROR(
  VLOOKUP(A149, '1C'!C:G, 5, 0),)</f>
        <v>NTPH10403</v>
      </c>
      <c r="I149" s="90" t="str">
        <f ca="1">IFERROR( VLOOKUP(A149, '1C'!C:I, 7, 0),)</f>
        <v>-</v>
      </c>
      <c r="J149" s="91" t="str">
        <f ca="1">IFERROR(
  VLOOKUP(A149, '1C'!C:H, 6, 0),)</f>
        <v>8536 49 00 90</v>
      </c>
      <c r="K149" s="86"/>
      <c r="L149" s="92"/>
    </row>
    <row r="150" spans="1:12" ht="14.4">
      <c r="A150" s="88" t="str">
        <f ca="1">IFERROR(__xludf.DUMMYFUNCTION("iferror(IFERROR(
HYPERLINK(
  VLOOKUP(
    INDEX(UNIQUE(FLATTEN({'1C'!$X$2:X200,'1C'!$C$2:C200})), ROW(A148)), 
    '1C'!C:O, 13, 0),
  INDEX(UNIQUE(FLATTEN({'1C'!$X$2:X200,'1C'!$C$2:C200})), ROW(A148))),
MATCH(INDEX(UNIQUE(FLATTEN({'1C'!$X$2:X200,'1C'!$C"&amp;"$2:C200})), ROW(A148)), L$3:L200, 0)
),)"),"PH-106")</f>
        <v>PH-106</v>
      </c>
      <c r="B150" s="111" t="str">
        <f ca="1">IFERROR(
  VLOOKUP(A150, '1C'!C:F, 4, 0),)</f>
        <v>out of production</v>
      </c>
      <c r="C150" s="111" t="str">
        <f ca="1">IFERROR(
  VLOOKUP(A150, '1C'!C:AA, 25, 0),)</f>
        <v>out of production</v>
      </c>
      <c r="D150" s="80" t="str">
        <f ca="1">IFERROR(
  VLOOKUP(A150, '1C'!C:L, 10, 0),)</f>
        <v>Jednofazowe, zaciski na dole, tylko przekaźniki napięciowe</v>
      </c>
      <c r="E150" s="81" t="str">
        <f ca="1">IFERROR(
  VLOOKUP(A150, '1C'!C:R, 16, 0),)</f>
        <v>DIN</v>
      </c>
      <c r="F150" s="82">
        <f ca="1">IFERROR(
  VLOOKUP(A150, '1C'!C:S, 17, 0),)</f>
        <v>3</v>
      </c>
      <c r="G150" s="83" t="str">
        <f ca="1">IFERROR(
  VLOOKUP(A150, '1C'!C:V, 20, 0),)</f>
        <v>63A</v>
      </c>
      <c r="H150" s="81" t="str">
        <f ca="1">IFERROR(
  VLOOKUP(A150, '1C'!C:G, 5, 0),)</f>
        <v>NTPH10603</v>
      </c>
      <c r="I150" s="90" t="str">
        <f ca="1">IFERROR( VLOOKUP(A150, '1C'!C:I, 7, 0),)</f>
        <v>-</v>
      </c>
      <c r="J150" s="91" t="str">
        <f ca="1">IFERROR(
  VLOOKUP(A150, '1C'!C:H, 6, 0),)</f>
        <v>8536 49 00 90</v>
      </c>
      <c r="K150" s="86"/>
      <c r="L150" s="92"/>
    </row>
    <row r="151" spans="1:12" ht="14.4">
      <c r="A151" s="93" t="str">
        <f ca="1">IFERROR(__xludf.DUMMYFUNCTION("iferror(IFERROR(
HYPERLINK(
  VLOOKUP(
    INDEX(UNIQUE(FLATTEN({'1C'!$X$2:X200,'1C'!$C$2:C200})), ROW(A149)), 
    '1C'!C:O, 13, 0),
  INDEX(UNIQUE(FLATTEN({'1C'!$X$2:X200,'1C'!$C$2:C200})), ROW(A149))),
MATCH(INDEX(UNIQUE(FLATTEN({'1C'!$X$2:X200,'1C'!$C"&amp;"$2:C200})), ROW(A149)), L$3:L200, 0)
),)"),"RN-125")</f>
        <v>RN-125</v>
      </c>
      <c r="B151" s="111">
        <f ca="1">IFERROR(
  VLOOKUP(A151, '1C'!C:F, 4, 0),)</f>
        <v>85</v>
      </c>
      <c r="C151" s="111">
        <f ca="1">IFERROR(
  VLOOKUP(A151, '1C'!C:AA, 25, 0),)</f>
        <v>90</v>
      </c>
      <c r="D151" s="80" t="str">
        <f ca="1">IFERROR(
  VLOOKUP(A151, '1C'!C:L, 10, 0),)</f>
        <v>Jednofazowe, zaciski na dole, tylko przekaźniki napięciowe</v>
      </c>
      <c r="E151" s="81" t="str">
        <f ca="1">IFERROR(
  VLOOKUP(A151, '1C'!C:R, 16, 0),)</f>
        <v>DIN</v>
      </c>
      <c r="F151" s="82">
        <f ca="1">IFERROR(
  VLOOKUP(A151, '1C'!C:S, 17, 0),)</f>
        <v>3</v>
      </c>
      <c r="G151" s="83" t="str">
        <f ca="1">IFERROR(
  VLOOKUP(A151, '1C'!C:V, 20, 0),)</f>
        <v>25А</v>
      </c>
      <c r="H151" s="81" t="str">
        <f ca="1">IFERROR(
  VLOOKUP(A151, '1C'!C:G, 5, 0),)</f>
        <v>NTRN12503</v>
      </c>
      <c r="I151" s="90" t="str">
        <f ca="1">IFERROR( VLOOKUP(A151, '1C'!C:I, 7, 0),)</f>
        <v>-</v>
      </c>
      <c r="J151" s="91" t="str">
        <f ca="1">IFERROR(
  VLOOKUP(A151, '1C'!C:H, 6, 0),)</f>
        <v>8536 49 00 90</v>
      </c>
      <c r="K151" s="86"/>
      <c r="L151" s="92"/>
    </row>
    <row r="152" spans="1:12" ht="14.4">
      <c r="A152" s="93" t="str">
        <f ca="1">IFERROR(__xludf.DUMMYFUNCTION("iferror(IFERROR(
HYPERLINK(
  VLOOKUP(
    INDEX(UNIQUE(FLATTEN({'1C'!$X$2:X200,'1C'!$C$2:C200})), ROW(A150)), 
    '1C'!C:O, 13, 0),
  INDEX(UNIQUE(FLATTEN({'1C'!$X$2:X200,'1C'!$C$2:C200})), ROW(A150))),
MATCH(INDEX(UNIQUE(FLATTEN({'1C'!$X$2:X200,'1C'!$C"&amp;"$2:C200})), ROW(A150)), L$3:L200, 0)
),)"),"RN-132")</f>
        <v>RN-132</v>
      </c>
      <c r="B152" s="111">
        <f ca="1">IFERROR(
  VLOOKUP(A152, '1C'!C:F, 4, 0),)</f>
        <v>90</v>
      </c>
      <c r="C152" s="111">
        <f ca="1">IFERROR(
  VLOOKUP(A152, '1C'!C:AA, 25, 0),)</f>
        <v>95</v>
      </c>
      <c r="D152" s="80" t="str">
        <f ca="1">IFERROR(
  VLOOKUP(A152, '1C'!C:L, 10, 0),)</f>
        <v>Jednofazowe, zaciski na dole, tylko przekaźniki napięciowe</v>
      </c>
      <c r="E152" s="81" t="str">
        <f ca="1">IFERROR(
  VLOOKUP(A152, '1C'!C:R, 16, 0),)</f>
        <v>DIN</v>
      </c>
      <c r="F152" s="82">
        <f ca="1">IFERROR(
  VLOOKUP(A152, '1C'!C:S, 17, 0),)</f>
        <v>3</v>
      </c>
      <c r="G152" s="83" t="str">
        <f ca="1">IFERROR(
  VLOOKUP(A152, '1C'!C:V, 20, 0),)</f>
        <v>32А</v>
      </c>
      <c r="H152" s="81" t="str">
        <f ca="1">IFERROR(
  VLOOKUP(A152, '1C'!C:G, 5, 0),)</f>
        <v>NTRN13203</v>
      </c>
      <c r="I152" s="90" t="str">
        <f ca="1">IFERROR( VLOOKUP(A152, '1C'!C:I, 7, 0),)</f>
        <v>-</v>
      </c>
      <c r="J152" s="91" t="str">
        <f ca="1">IFERROR(
  VLOOKUP(A152, '1C'!C:H, 6, 0),)</f>
        <v>8536 49 00 90</v>
      </c>
      <c r="K152" s="86"/>
      <c r="L152" s="92"/>
    </row>
    <row r="153" spans="1:12" ht="14.4">
      <c r="A153" s="93" t="str">
        <f ca="1">IFERROR(__xludf.DUMMYFUNCTION("iferror(IFERROR(
HYPERLINK(
  VLOOKUP(
    INDEX(UNIQUE(FLATTEN({'1C'!$X$2:X200,'1C'!$C$2:C200})), ROW(A151)), 
    '1C'!C:O, 13, 0),
  INDEX(UNIQUE(FLATTEN({'1C'!$X$2:X200,'1C'!$C$2:C200})), ROW(A151))),
MATCH(INDEX(UNIQUE(FLATTEN({'1C'!$X$2:X200,'1C'!$C"&amp;"$2:C200})), ROW(A151)), L$3:L200, 0)
),)"),"RN-140")</f>
        <v>RN-140</v>
      </c>
      <c r="B153" s="111">
        <f ca="1">IFERROR(
  VLOOKUP(A153, '1C'!C:F, 4, 0),)</f>
        <v>105</v>
      </c>
      <c r="C153" s="111">
        <f ca="1">IFERROR(
  VLOOKUP(A153, '1C'!C:AA, 25, 0),)</f>
        <v>105</v>
      </c>
      <c r="D153" s="80" t="str">
        <f ca="1">IFERROR(
  VLOOKUP(A153, '1C'!C:L, 10, 0),)</f>
        <v>Jednofazowe, zaciski na dole, tylko przekaźniki napięciowe</v>
      </c>
      <c r="E153" s="81" t="str">
        <f ca="1">IFERROR(
  VLOOKUP(A153, '1C'!C:R, 16, 0),)</f>
        <v>DIN</v>
      </c>
      <c r="F153" s="82">
        <f ca="1">IFERROR(
  VLOOKUP(A153, '1C'!C:S, 17, 0),)</f>
        <v>3</v>
      </c>
      <c r="G153" s="83" t="str">
        <f ca="1">IFERROR(
  VLOOKUP(A153, '1C'!C:V, 20, 0),)</f>
        <v>40А</v>
      </c>
      <c r="H153" s="81" t="str">
        <f ca="1">IFERROR(
  VLOOKUP(A153, '1C'!C:G, 5, 0),)</f>
        <v>NTRN14003</v>
      </c>
      <c r="I153" s="90" t="str">
        <f ca="1">IFERROR( VLOOKUP(A153, '1C'!C:I, 7, 0),)</f>
        <v>-</v>
      </c>
      <c r="J153" s="91" t="str">
        <f ca="1">IFERROR(
  VLOOKUP(A153, '1C'!C:H, 6, 0),)</f>
        <v>8536 49 00 90</v>
      </c>
      <c r="K153" s="86"/>
      <c r="L153" s="92"/>
    </row>
    <row r="154" spans="1:12" ht="14.4">
      <c r="A154" s="93" t="str">
        <f ca="1">IFERROR(__xludf.DUMMYFUNCTION("iferror(IFERROR(
HYPERLINK(
  VLOOKUP(
    INDEX(UNIQUE(FLATTEN({'1C'!$X$2:X200,'1C'!$C$2:C200})), ROW(A152)), 
    '1C'!C:O, 13, 0),
  INDEX(UNIQUE(FLATTEN({'1C'!$X$2:X200,'1C'!$C$2:C200})), ROW(A152))),
MATCH(INDEX(UNIQUE(FLATTEN({'1C'!$X$2:X200,'1C'!$C"&amp;"$2:C200})), ROW(A152)), L$3:L200, 0)
),)"),"RN-150")</f>
        <v>RN-150</v>
      </c>
      <c r="B154" s="111">
        <f ca="1">IFERROR(
  VLOOKUP(A154, '1C'!C:F, 4, 0),)</f>
        <v>115</v>
      </c>
      <c r="C154" s="111">
        <f ca="1">IFERROR(
  VLOOKUP(A154, '1C'!C:AA, 25, 0),)</f>
        <v>115</v>
      </c>
      <c r="D154" s="80" t="str">
        <f ca="1">IFERROR(
  VLOOKUP(A154, '1C'!C:L, 10, 0),)</f>
        <v>Jednofazowe, zaciski na dole, tylko przekaźniki napięciowe</v>
      </c>
      <c r="E154" s="81" t="str">
        <f ca="1">IFERROR(
  VLOOKUP(A154, '1C'!C:R, 16, 0),)</f>
        <v>DIN</v>
      </c>
      <c r="F154" s="82">
        <f ca="1">IFERROR(
  VLOOKUP(A154, '1C'!C:S, 17, 0),)</f>
        <v>3</v>
      </c>
      <c r="G154" s="83" t="str">
        <f ca="1">IFERROR(
  VLOOKUP(A154, '1C'!C:V, 20, 0),)</f>
        <v>50А</v>
      </c>
      <c r="H154" s="81" t="str">
        <f ca="1">IFERROR(
  VLOOKUP(A154, '1C'!C:G, 5, 0),)</f>
        <v>NTRN15003</v>
      </c>
      <c r="I154" s="90" t="str">
        <f ca="1">IFERROR( VLOOKUP(A154, '1C'!C:I, 7, 0),)</f>
        <v>-</v>
      </c>
      <c r="J154" s="91" t="str">
        <f ca="1">IFERROR(
  VLOOKUP(A154, '1C'!C:H, 6, 0),)</f>
        <v>8536 49 00 90</v>
      </c>
      <c r="K154" s="86"/>
      <c r="L154" s="92"/>
    </row>
    <row r="155" spans="1:12" ht="14.4">
      <c r="A155" s="93" t="str">
        <f ca="1">IFERROR(__xludf.DUMMYFUNCTION("iferror(IFERROR(
HYPERLINK(
  VLOOKUP(
    INDEX(UNIQUE(FLATTEN({'1C'!$X$2:X200,'1C'!$C$2:C200})), ROW(A153)), 
    '1C'!C:O, 13, 0),
  INDEX(UNIQUE(FLATTEN({'1C'!$X$2:X200,'1C'!$C$2:C200})), ROW(A153))),
MATCH(INDEX(UNIQUE(FLATTEN({'1C'!$X$2:X200,'1C'!$C"&amp;"$2:C200})), ROW(A153)), L$3:L200, 0)
),)"),"RN-163")</f>
        <v>RN-163</v>
      </c>
      <c r="B155" s="111">
        <f ca="1">IFERROR(
  VLOOKUP(A155, '1C'!C:F, 4, 0),)</f>
        <v>125</v>
      </c>
      <c r="C155" s="111">
        <f ca="1">IFERROR(
  VLOOKUP(A155, '1C'!C:AA, 25, 0),)</f>
        <v>120</v>
      </c>
      <c r="D155" s="80" t="str">
        <f ca="1">IFERROR(
  VLOOKUP(A155, '1C'!C:L, 10, 0),)</f>
        <v>Jednofazowe, zaciski na dole, tylko przekaźniki napięciowe</v>
      </c>
      <c r="E155" s="81" t="str">
        <f ca="1">IFERROR(
  VLOOKUP(A155, '1C'!C:R, 16, 0),)</f>
        <v>DIN</v>
      </c>
      <c r="F155" s="82">
        <f ca="1">IFERROR(
  VLOOKUP(A155, '1C'!C:S, 17, 0),)</f>
        <v>3</v>
      </c>
      <c r="G155" s="83" t="str">
        <f ca="1">IFERROR(
  VLOOKUP(A155, '1C'!C:V, 20, 0),)</f>
        <v>63А</v>
      </c>
      <c r="H155" s="81" t="str">
        <f ca="1">IFERROR(
  VLOOKUP(A155, '1C'!C:G, 5, 0),)</f>
        <v>NTRN16303</v>
      </c>
      <c r="I155" s="90" t="str">
        <f ca="1">IFERROR( VLOOKUP(A155, '1C'!C:I, 7, 0),)</f>
        <v>-</v>
      </c>
      <c r="J155" s="91" t="str">
        <f ca="1">IFERROR(
  VLOOKUP(A155, '1C'!C:H, 6, 0),)</f>
        <v>8536 49 00 90</v>
      </c>
      <c r="K155" s="86"/>
      <c r="L155" s="92"/>
    </row>
    <row r="156" spans="1:12" ht="14.4">
      <c r="A156" s="93" t="str">
        <f ca="1">IFERROR(__xludf.DUMMYFUNCTION("iferror(IFERROR(
HYPERLINK(
  VLOOKUP(
    INDEX(UNIQUE(FLATTEN({'1C'!$X$2:X200,'1C'!$C$2:C200})), ROW(A154)), 
    '1C'!C:O, 13, 0),
  INDEX(UNIQUE(FLATTEN({'1C'!$X$2:X200,'1C'!$C$2:C200})), ROW(A154))),
MATCH(INDEX(UNIQUE(FLATTEN({'1C'!$X$2:X200,'1C'!$C"&amp;"$2:C200})), ROW(A154)), L$3:L200, 0)
),)"),"RN-125t")</f>
        <v>RN-125t</v>
      </c>
      <c r="B156" s="111">
        <f ca="1">IFERROR(
  VLOOKUP(A156, '1C'!C:F, 4, 0),)</f>
        <v>90</v>
      </c>
      <c r="C156" s="111">
        <f ca="1">IFERROR(
  VLOOKUP(A156, '1C'!C:AA, 25, 0),)</f>
        <v>95</v>
      </c>
      <c r="D156" s="80" t="str">
        <f ca="1">IFERROR(
  VLOOKUP(A156, '1C'!C:L, 10, 0),)</f>
        <v>Z zabezpieczeniem termicznym, jednofazowe, zaciski na dole, tylko przekaźniki napięciowe</v>
      </c>
      <c r="E156" s="81" t="str">
        <f ca="1">IFERROR(
  VLOOKUP(A156, '1C'!C:R, 16, 0),)</f>
        <v>DIN</v>
      </c>
      <c r="F156" s="82">
        <f ca="1">IFERROR(
  VLOOKUP(A156, '1C'!C:S, 17, 0),)</f>
        <v>3</v>
      </c>
      <c r="G156" s="83" t="str">
        <f ca="1">IFERROR(
  VLOOKUP(A156, '1C'!C:V, 20, 0),)</f>
        <v>25А</v>
      </c>
      <c r="H156" s="81" t="str">
        <f ca="1">IFERROR(
  VLOOKUP(A156, '1C'!C:G, 5, 0),)</f>
        <v>NTRN125T3</v>
      </c>
      <c r="I156" s="90" t="str">
        <f ca="1">IFERROR( VLOOKUP(A156, '1C'!C:I, 7, 0),)</f>
        <v>-</v>
      </c>
      <c r="J156" s="91" t="str">
        <f ca="1">IFERROR(
  VLOOKUP(A156, '1C'!C:H, 6, 0),)</f>
        <v>8536 49 00 90</v>
      </c>
      <c r="K156" s="86"/>
      <c r="L156" s="92"/>
    </row>
    <row r="157" spans="1:12" ht="14.4">
      <c r="A157" s="93" t="str">
        <f ca="1">IFERROR(__xludf.DUMMYFUNCTION("iferror(IFERROR(
HYPERLINK(
  VLOOKUP(
    INDEX(UNIQUE(FLATTEN({'1C'!$X$2:X200,'1C'!$C$2:C200})), ROW(A155)), 
    '1C'!C:O, 13, 0),
  INDEX(UNIQUE(FLATTEN({'1C'!$X$2:X200,'1C'!$C$2:C200})), ROW(A155))),
MATCH(INDEX(UNIQUE(FLATTEN({'1C'!$X$2:X200,'1C'!$C"&amp;"$2:C200})), ROW(A155)), L$3:L200, 0)
),)"),"RN-132t")</f>
        <v>RN-132t</v>
      </c>
      <c r="B157" s="111">
        <f ca="1">IFERROR(
  VLOOKUP(A157, '1C'!C:F, 4, 0),)</f>
        <v>100</v>
      </c>
      <c r="C157" s="111">
        <f ca="1">IFERROR(
  VLOOKUP(A157, '1C'!C:AA, 25, 0),)</f>
        <v>105</v>
      </c>
      <c r="D157" s="80" t="str">
        <f ca="1">IFERROR(
  VLOOKUP(A157, '1C'!C:L, 10, 0),)</f>
        <v>Z zabezpieczeniem termicznym, jednofazowe, zaciski na dole, tylko przekaźniki napięciowe</v>
      </c>
      <c r="E157" s="81" t="str">
        <f ca="1">IFERROR(
  VLOOKUP(A157, '1C'!C:R, 16, 0),)</f>
        <v>DIN</v>
      </c>
      <c r="F157" s="82">
        <f ca="1">IFERROR(
  VLOOKUP(A157, '1C'!C:S, 17, 0),)</f>
        <v>3</v>
      </c>
      <c r="G157" s="83" t="str">
        <f ca="1">IFERROR(
  VLOOKUP(A157, '1C'!C:V, 20, 0),)</f>
        <v>32А</v>
      </c>
      <c r="H157" s="81" t="str">
        <f ca="1">IFERROR(
  VLOOKUP(A157, '1C'!C:G, 5, 0),)</f>
        <v>NTRN132T3</v>
      </c>
      <c r="I157" s="90" t="str">
        <f ca="1">IFERROR( VLOOKUP(A157, '1C'!C:I, 7, 0),)</f>
        <v>-</v>
      </c>
      <c r="J157" s="91" t="str">
        <f ca="1">IFERROR(
  VLOOKUP(A157, '1C'!C:H, 6, 0),)</f>
        <v>8536 49 00 90</v>
      </c>
      <c r="K157" s="86"/>
      <c r="L157" s="92"/>
    </row>
    <row r="158" spans="1:12" ht="14.4">
      <c r="A158" s="93" t="str">
        <f ca="1">IFERROR(__xludf.DUMMYFUNCTION("iferror(IFERROR(
HYPERLINK(
  VLOOKUP(
    INDEX(UNIQUE(FLATTEN({'1C'!$X$2:X200,'1C'!$C$2:C200})), ROW(A156)), 
    '1C'!C:O, 13, 0),
  INDEX(UNIQUE(FLATTEN({'1C'!$X$2:X200,'1C'!$C$2:C200})), ROW(A156))),
MATCH(INDEX(UNIQUE(FLATTEN({'1C'!$X$2:X200,'1C'!$C"&amp;"$2:C200})), ROW(A156)), L$3:L200, 0)
),)"),"RN-140t")</f>
        <v>RN-140t</v>
      </c>
      <c r="B158" s="111">
        <f ca="1">IFERROR(
  VLOOKUP(A158, '1C'!C:F, 4, 0),)</f>
        <v>110</v>
      </c>
      <c r="C158" s="111">
        <f ca="1">IFERROR(
  VLOOKUP(A158, '1C'!C:AA, 25, 0),)</f>
        <v>110</v>
      </c>
      <c r="D158" s="80" t="str">
        <f ca="1">IFERROR(
  VLOOKUP(A158, '1C'!C:L, 10, 0),)</f>
        <v>Z zabezpieczeniem termicznym, jednofazowe, zaciski na dole, tylko przekaźniki napięciowe</v>
      </c>
      <c r="E158" s="81" t="str">
        <f ca="1">IFERROR(
  VLOOKUP(A158, '1C'!C:R, 16, 0),)</f>
        <v>DIN</v>
      </c>
      <c r="F158" s="82">
        <f ca="1">IFERROR(
  VLOOKUP(A158, '1C'!C:S, 17, 0),)</f>
        <v>3</v>
      </c>
      <c r="G158" s="83" t="str">
        <f ca="1">IFERROR(
  VLOOKUP(A158, '1C'!C:V, 20, 0),)</f>
        <v>40А</v>
      </c>
      <c r="H158" s="81" t="str">
        <f ca="1">IFERROR(
  VLOOKUP(A158, '1C'!C:G, 5, 0),)</f>
        <v>NTRN140T3</v>
      </c>
      <c r="I158" s="90" t="str">
        <f ca="1">IFERROR( VLOOKUP(A158, '1C'!C:I, 7, 0),)</f>
        <v>-</v>
      </c>
      <c r="J158" s="91" t="str">
        <f ca="1">IFERROR(
  VLOOKUP(A158, '1C'!C:H, 6, 0),)</f>
        <v>8536 49 00 90</v>
      </c>
      <c r="K158" s="86"/>
      <c r="L158" s="92"/>
    </row>
    <row r="159" spans="1:12" ht="14.4">
      <c r="A159" s="93" t="str">
        <f ca="1">IFERROR(__xludf.DUMMYFUNCTION("iferror(IFERROR(
HYPERLINK(
  VLOOKUP(
    INDEX(UNIQUE(FLATTEN({'1C'!$X$2:X200,'1C'!$C$2:C200})), ROW(A157)), 
    '1C'!C:O, 13, 0),
  INDEX(UNIQUE(FLATTEN({'1C'!$X$2:X200,'1C'!$C$2:C200})), ROW(A157))),
MATCH(INDEX(UNIQUE(FLATTEN({'1C'!$X$2:X200,'1C'!$C"&amp;"$2:C200})), ROW(A157)), L$3:L200, 0)
),)"),"RN-150t")</f>
        <v>RN-150t</v>
      </c>
      <c r="B159" s="111">
        <f ca="1">IFERROR(
  VLOOKUP(A159, '1C'!C:F, 4, 0),)</f>
        <v>120</v>
      </c>
      <c r="C159" s="111">
        <f ca="1">IFERROR(
  VLOOKUP(A159, '1C'!C:AA, 25, 0),)</f>
        <v>120</v>
      </c>
      <c r="D159" s="80" t="str">
        <f ca="1">IFERROR(
  VLOOKUP(A159, '1C'!C:L, 10, 0),)</f>
        <v>Z zabezpieczeniem termicznym, jednofazowe, zaciski na dole, tylko przekaźniki napięciowe</v>
      </c>
      <c r="E159" s="81" t="str">
        <f ca="1">IFERROR(
  VLOOKUP(A159, '1C'!C:R, 16, 0),)</f>
        <v>DIN</v>
      </c>
      <c r="F159" s="82">
        <f ca="1">IFERROR(
  VLOOKUP(A159, '1C'!C:S, 17, 0),)</f>
        <v>3</v>
      </c>
      <c r="G159" s="83" t="str">
        <f ca="1">IFERROR(
  VLOOKUP(A159, '1C'!C:V, 20, 0),)</f>
        <v>50А</v>
      </c>
      <c r="H159" s="81" t="str">
        <f ca="1">IFERROR(
  VLOOKUP(A159, '1C'!C:G, 5, 0),)</f>
        <v>NTRN150T3</v>
      </c>
      <c r="I159" s="90" t="str">
        <f ca="1">IFERROR( VLOOKUP(A159, '1C'!C:I, 7, 0),)</f>
        <v>-</v>
      </c>
      <c r="J159" s="91" t="str">
        <f ca="1">IFERROR(
  VLOOKUP(A159, '1C'!C:H, 6, 0),)</f>
        <v>8536 49 00 90</v>
      </c>
      <c r="K159" s="86"/>
      <c r="L159" s="92"/>
    </row>
    <row r="160" spans="1:12" ht="14.4">
      <c r="A160" s="93" t="str">
        <f ca="1">IFERROR(__xludf.DUMMYFUNCTION("iferror(IFERROR(
HYPERLINK(
  VLOOKUP(
    INDEX(UNIQUE(FLATTEN({'1C'!$X$2:X200,'1C'!$C$2:C200})), ROW(A158)), 
    '1C'!C:O, 13, 0),
  INDEX(UNIQUE(FLATTEN({'1C'!$X$2:X200,'1C'!$C$2:C200})), ROW(A158))),
MATCH(INDEX(UNIQUE(FLATTEN({'1C'!$X$2:X200,'1C'!$C"&amp;"$2:C200})), ROW(A158)), L$3:L200, 0)
),)"),"RN-163t")</f>
        <v>RN-163t</v>
      </c>
      <c r="B160" s="111">
        <f ca="1">IFERROR(
  VLOOKUP(A160, '1C'!C:F, 4, 0),)</f>
        <v>130</v>
      </c>
      <c r="C160" s="111">
        <f ca="1">IFERROR(
  VLOOKUP(A160, '1C'!C:AA, 25, 0),)</f>
        <v>130</v>
      </c>
      <c r="D160" s="80" t="str">
        <f ca="1">IFERROR(
  VLOOKUP(A160, '1C'!C:L, 10, 0),)</f>
        <v>Z zabezpieczeniem termicznym, jednofazowe, zaciski na dole, tylko przekaźniki napięciowe</v>
      </c>
      <c r="E160" s="81" t="str">
        <f ca="1">IFERROR(
  VLOOKUP(A160, '1C'!C:R, 16, 0),)</f>
        <v>DIN</v>
      </c>
      <c r="F160" s="82">
        <f ca="1">IFERROR(
  VLOOKUP(A160, '1C'!C:S, 17, 0),)</f>
        <v>3</v>
      </c>
      <c r="G160" s="83" t="str">
        <f ca="1">IFERROR(
  VLOOKUP(A160, '1C'!C:V, 20, 0),)</f>
        <v>63А</v>
      </c>
      <c r="H160" s="81" t="str">
        <f ca="1">IFERROR(
  VLOOKUP(A160, '1C'!C:G, 5, 0),)</f>
        <v>NTRN163T3</v>
      </c>
      <c r="I160" s="90" t="str">
        <f ca="1">IFERROR( VLOOKUP(A160, '1C'!C:I, 7, 0),)</f>
        <v>-</v>
      </c>
      <c r="J160" s="91" t="str">
        <f ca="1">IFERROR(
  VLOOKUP(A160, '1C'!C:H, 6, 0),)</f>
        <v>8536 49 00 90</v>
      </c>
      <c r="K160" s="86"/>
      <c r="L160" s="92"/>
    </row>
    <row r="161" spans="1:12" ht="14.4">
      <c r="A161" s="88" t="str">
        <f ca="1">IFERROR(__xludf.DUMMYFUNCTION("iferror(IFERROR(
HYPERLINK(
  VLOOKUP(
    INDEX(UNIQUE(FLATTEN({'1C'!$X$2:X200,'1C'!$C$2:C200})), ROW(A159)), 
    '1C'!C:O, 13, 0),
  INDEX(UNIQUE(FLATTEN({'1C'!$X$2:X200,'1C'!$C$2:C200})), ROW(A159))),
MATCH(INDEX(UNIQUE(FLATTEN({'1C'!$X$2:X200,'1C'!$C"&amp;"$2:C200})), ROW(A159)), L$3:L200, 0)
),)"),"RN-240t")</f>
        <v>RN-240t</v>
      </c>
      <c r="B161" s="111">
        <f ca="1">IFERROR(
  VLOOKUP(A161, '1C'!C:F, 4, 0),)</f>
        <v>140</v>
      </c>
      <c r="C161" s="111">
        <f ca="1">IFERROR(
  VLOOKUP(A161, '1C'!C:AA, 25, 0),)</f>
        <v>140</v>
      </c>
      <c r="D161" s="80" t="str">
        <f ca="1">IFERROR(
  VLOOKUP(A161, '1C'!C:L, 10, 0),)</f>
        <v>Ogranicznik prądu + przekaźnik napięciowy, wskazanie mocy</v>
      </c>
      <c r="E161" s="81" t="str">
        <f ca="1">IFERROR(
  VLOOKUP(A161, '1C'!C:R, 16, 0),)</f>
        <v>DIN</v>
      </c>
      <c r="F161" s="82">
        <f ca="1">IFERROR(
  VLOOKUP(A161, '1C'!C:S, 17, 0),)</f>
        <v>2</v>
      </c>
      <c r="G161" s="83" t="str">
        <f ca="1">IFERROR(
  VLOOKUP(A161, '1C'!C:V, 20, 0),)</f>
        <v>40А</v>
      </c>
      <c r="H161" s="81" t="str">
        <f ca="1">IFERROR(
  VLOOKUP(A161, '1C'!C:G, 5, 0),)</f>
        <v>NTRN240T2</v>
      </c>
      <c r="I161" s="90">
        <f ca="1">IFERROR( VLOOKUP(A161, '1C'!C:I, 7, 0),)</f>
        <v>4820122950269</v>
      </c>
      <c r="J161" s="91" t="str">
        <f ca="1">IFERROR(
  VLOOKUP(A161, '1C'!C:H, 6, 0),)</f>
        <v>8536 49 00 90</v>
      </c>
      <c r="K161" s="86"/>
      <c r="L161" s="92"/>
    </row>
    <row r="162" spans="1:12" ht="14.4">
      <c r="A162" s="88" t="str">
        <f ca="1">IFERROR(__xludf.DUMMYFUNCTION("iferror(IFERROR(
HYPERLINK(
  VLOOKUP(
    INDEX(UNIQUE(FLATTEN({'1C'!$X$2:X200,'1C'!$C$2:C200})), ROW(A160)), 
    '1C'!C:O, 13, 0),
  INDEX(UNIQUE(FLATTEN({'1C'!$X$2:X200,'1C'!$C$2:C200})), ROW(A160))),
MATCH(INDEX(UNIQUE(FLATTEN({'1C'!$X$2:X200,'1C'!$C"&amp;"$2:C200})), ROW(A160)), L$3:L200, 0)
),)"),"RN-260t")</f>
        <v>RN-260t</v>
      </c>
      <c r="B162" s="111">
        <f ca="1">IFERROR(
  VLOOKUP(A162, '1C'!C:F, 4, 0),)</f>
        <v>155</v>
      </c>
      <c r="C162" s="111">
        <f ca="1">IFERROR(
  VLOOKUP(A162, '1C'!C:AA, 25, 0),)</f>
        <v>155</v>
      </c>
      <c r="D162" s="80" t="str">
        <f ca="1">IFERROR(
  VLOOKUP(A162, '1C'!C:L, 10, 0),)</f>
        <v>Ogranicznik prądu + przekaźnik napięciowy + ogranicznik mocy, wskazanie parametrów</v>
      </c>
      <c r="E162" s="81" t="str">
        <f ca="1">IFERROR(
  VLOOKUP(A162, '1C'!C:R, 16, 0),)</f>
        <v>DIN</v>
      </c>
      <c r="F162" s="82">
        <f ca="1">IFERROR(
  VLOOKUP(A162, '1C'!C:S, 17, 0),)</f>
        <v>3</v>
      </c>
      <c r="G162" s="83" t="str">
        <f ca="1">IFERROR(
  VLOOKUP(A162, '1C'!C:V, 20, 0),)</f>
        <v>63А</v>
      </c>
      <c r="H162" s="81" t="str">
        <f ca="1">IFERROR(
  VLOOKUP(A162, '1C'!C:G, 5, 0),)</f>
        <v>NTRN260T3</v>
      </c>
      <c r="I162" s="90">
        <f ca="1">IFERROR( VLOOKUP(A162, '1C'!C:I, 7, 0),)</f>
        <v>4820122950405</v>
      </c>
      <c r="J162" s="91" t="str">
        <f ca="1">IFERROR(
  VLOOKUP(A162, '1C'!C:H, 6, 0),)</f>
        <v>8536 49 00 90</v>
      </c>
      <c r="K162" s="86"/>
      <c r="L162" s="92"/>
    </row>
    <row r="163" spans="1:12" ht="14.4">
      <c r="A163" s="88" t="str">
        <f ca="1">IFERROR(__xludf.DUMMYFUNCTION("iferror(IFERROR(
HYPERLINK(
  VLOOKUP(
    INDEX(UNIQUE(FLATTEN({'1C'!$X$2:X200,'1C'!$C$2:C200})), ROW(A161)), 
    '1C'!C:O, 13, 0),
  INDEX(UNIQUE(FLATTEN({'1C'!$X$2:X200,'1C'!$C$2:C200})), ROW(A161))),
MATCH(INDEX(UNIQUE(FLATTEN({'1C'!$X$2:X200,'1C'!$C"&amp;"$2:C200})), ROW(A161)), L$3:L200, 0)
),)"),"RN-263t")</f>
        <v>RN-263t</v>
      </c>
      <c r="B163" s="111">
        <f ca="1">IFERROR(
  VLOOKUP(A163, '1C'!C:F, 4, 0),)</f>
        <v>150</v>
      </c>
      <c r="C163" s="111">
        <f ca="1">IFERROR(
  VLOOKUP(A163, '1C'!C:AA, 25, 0),)</f>
        <v>150</v>
      </c>
      <c r="D163" s="80" t="str">
        <f ca="1">IFERROR(
  VLOOKUP(A163, '1C'!C:L, 10, 0),)</f>
        <v>Ogranicznik prądu + przekaźnik napięciowy, wskazanie mocy</v>
      </c>
      <c r="E163" s="81" t="str">
        <f ca="1">IFERROR(
  VLOOKUP(A163, '1C'!C:R, 16, 0),)</f>
        <v>DIN</v>
      </c>
      <c r="F163" s="82">
        <f ca="1">IFERROR(
  VLOOKUP(A163, '1C'!C:S, 17, 0),)</f>
        <v>2</v>
      </c>
      <c r="G163" s="83" t="str">
        <f ca="1">IFERROR(
  VLOOKUP(A163, '1C'!C:V, 20, 0),)</f>
        <v>63А</v>
      </c>
      <c r="H163" s="81" t="str">
        <f ca="1">IFERROR(
  VLOOKUP(A163, '1C'!C:G, 5, 0),)</f>
        <v>NTRN263T2</v>
      </c>
      <c r="I163" s="90">
        <f ca="1">IFERROR( VLOOKUP(A163, '1C'!C:I, 7, 0),)</f>
        <v>4820122950276</v>
      </c>
      <c r="J163" s="91" t="str">
        <f ca="1">IFERROR(
  VLOOKUP(A163, '1C'!C:H, 6, 0),)</f>
        <v>8536 49 00 90</v>
      </c>
      <c r="K163" s="86"/>
      <c r="L163" s="92"/>
    </row>
    <row r="164" spans="1:12" ht="14.4">
      <c r="A164" s="93" t="str">
        <f ca="1">IFERROR(__xludf.DUMMYFUNCTION("iferror(IFERROR(
HYPERLINK(
  VLOOKUP(
    INDEX(UNIQUE(FLATTEN({'1C'!$X$2:X200,'1C'!$C$2:C200})), ROW(A162)), 
    '1C'!C:O, 13, 0),
  INDEX(UNIQUE(FLATTEN({'1C'!$X$2:X200,'1C'!$C$2:C200})), ROW(A162))),
MATCH(INDEX(UNIQUE(FLATTEN({'1C'!$X$2:X200,'1C'!$C"&amp;"$2:C200})), ROW(A162)), L$3:L200, 0)
),)"),"RN-112")</f>
        <v>RN-112</v>
      </c>
      <c r="B164" s="111">
        <f ca="1">IFERROR(
  VLOOKUP(A164, '1C'!C:F, 4, 0),)</f>
        <v>110</v>
      </c>
      <c r="C164" s="111">
        <f ca="1">IFERROR(
  VLOOKUP(A164, '1C'!C:AA, 25, 0),)</f>
        <v>115</v>
      </c>
      <c r="D164" s="80" t="str">
        <f ca="1">IFERROR(
  VLOOKUP(A164, '1C'!C:L, 10, 0),)</f>
        <v>100V</v>
      </c>
      <c r="E164" s="81" t="str">
        <f ca="1">IFERROR(
  VLOOKUP(A164, '1C'!C:R, 16, 0),)</f>
        <v>DIN</v>
      </c>
      <c r="F164" s="82">
        <f ca="1">IFERROR(
  VLOOKUP(A164, '1C'!C:S, 17, 0),)</f>
        <v>3</v>
      </c>
      <c r="G164" s="83" t="str">
        <f ca="1">IFERROR(
  VLOOKUP(A164, '1C'!C:V, 20, 0),)</f>
        <v>5А</v>
      </c>
      <c r="H164" s="81" t="str">
        <f ca="1">IFERROR(
  VLOOKUP(A164, '1C'!C:G, 5, 0),)</f>
        <v>NTRN122LV</v>
      </c>
      <c r="I164" s="90" t="str">
        <f ca="1">IFERROR( VLOOKUP(A164, '1C'!C:I, 7, 0),)</f>
        <v>-</v>
      </c>
      <c r="J164" s="91" t="str">
        <f ca="1">IFERROR(
  VLOOKUP(A164, '1C'!C:H, 6, 0),)</f>
        <v>8536 49 00 90</v>
      </c>
      <c r="K164" s="86"/>
      <c r="L164" s="92"/>
    </row>
    <row r="165" spans="1:12" ht="14.4">
      <c r="A165" s="88" t="str">
        <f ca="1">IFERROR(__xludf.DUMMYFUNCTION("iferror(IFERROR(
HYPERLINK(
  VLOOKUP(
    INDEX(UNIQUE(FLATTEN({'1C'!$X$2:X200,'1C'!$C$2:C200})), ROW(A163)), 
    '1C'!C:O, 13, 0),
  INDEX(UNIQUE(FLATTEN({'1C'!$X$2:X200,'1C'!$C$2:C200})), ROW(A163))),
MATCH(INDEX(UNIQUE(FLATTEN({'1C'!$X$2:X200,'1C'!$C"&amp;"$2:C200})), ROW(A163)), L$3:L200, 0)
),)"),"EM-129")</f>
        <v>EM-129</v>
      </c>
      <c r="B165" s="111">
        <f ca="1">IFERROR(
  VLOOKUP(A165, '1C'!C:F, 4, 0),)</f>
        <v>465</v>
      </c>
      <c r="C165" s="111">
        <f ca="1">IFERROR(
  VLOOKUP(A165, '1C'!C:AA, 25, 0),)</f>
        <v>465</v>
      </c>
      <c r="D165" s="80" t="str">
        <f ca="1">IFERROR(
  VLOOKUP(A165, '1C'!C:L, 10, 0),)</f>
        <v>Miernik Wi-Fi z przekaźnikiem napięcia, limitem mocy i prądu, historią, timerem, grafiką</v>
      </c>
      <c r="E165" s="81" t="str">
        <f ca="1">IFERROR(
  VLOOKUP(A165, '1C'!C:R, 16, 0),)</f>
        <v>DIN</v>
      </c>
      <c r="F165" s="82">
        <f ca="1">IFERROR(
  VLOOKUP(A165, '1C'!C:S, 17, 0),)</f>
        <v>2</v>
      </c>
      <c r="G165" s="83" t="str">
        <f ca="1">IFERROR(
  VLOOKUP(A165, '1C'!C:V, 20, 0),)</f>
        <v>63А</v>
      </c>
      <c r="H165" s="81" t="str">
        <f ca="1">IFERROR(
  VLOOKUP(A165, '1C'!C:G, 5, 0),)</f>
        <v>NTRN129S0</v>
      </c>
      <c r="I165" s="90">
        <f ca="1">IFERROR( VLOOKUP(A165, '1C'!C:I, 7, 0),)</f>
        <v>4820122950313</v>
      </c>
      <c r="J165" s="91" t="str">
        <f ca="1">IFERROR(
  VLOOKUP(A165, '1C'!C:H, 6, 0),)</f>
        <v>9028 30 11 00</v>
      </c>
      <c r="K165" s="86"/>
      <c r="L165" s="92"/>
    </row>
    <row r="166" spans="1:12" ht="14.4">
      <c r="A166" s="93" t="str">
        <f ca="1">IFERROR(__xludf.DUMMYFUNCTION("iferror(IFERROR(
HYPERLINK(
  VLOOKUP(
    INDEX(UNIQUE(FLATTEN({'1C'!$X$2:X200,'1C'!$C$2:C200})), ROW(A164)), 
    '1C'!C:O, 13, 0),
  INDEX(UNIQUE(FLATTEN({'1C'!$X$2:X200,'1C'!$C$2:C200})), ROW(A164))),
MATCH(INDEX(UNIQUE(FLATTEN({'1C'!$X$2:X200,'1C'!$C"&amp;"$2:C200})), ROW(A164)), L$3:L200, 0)
),)"),"Przekaźnik przelewowy")</f>
        <v>Przekaźnik przelewowy</v>
      </c>
      <c r="B166" s="111">
        <f ca="1">IFERROR(
  VLOOKUP(A166, '1C'!C:F, 4, 0),)</f>
        <v>0</v>
      </c>
      <c r="C166" s="111">
        <f ca="1">IFERROR(
  VLOOKUP(A166, '1C'!C:AA, 25, 0),)</f>
        <v>0</v>
      </c>
      <c r="D166" s="80">
        <f ca="1">IFERROR(
  VLOOKUP(A166, '1C'!C:L, 10, 0),)</f>
        <v>0</v>
      </c>
      <c r="E166" s="81">
        <f ca="1">IFERROR(
  VLOOKUP(A166, '1C'!C:R, 16, 0),)</f>
        <v>0</v>
      </c>
      <c r="F166" s="82">
        <f ca="1">IFERROR(
  VLOOKUP(A166, '1C'!C:S, 17, 0),)</f>
        <v>0</v>
      </c>
      <c r="G166" s="83">
        <f ca="1">IFERROR(
  VLOOKUP(A166, '1C'!C:V, 20, 0),)</f>
        <v>0</v>
      </c>
      <c r="H166" s="81">
        <f ca="1">IFERROR(
  VLOOKUP(A166, '1C'!C:G, 5, 0),)</f>
        <v>0</v>
      </c>
      <c r="I166" s="90">
        <f ca="1">IFERROR( VLOOKUP(A166, '1C'!C:I, 7, 0),)</f>
        <v>0</v>
      </c>
      <c r="J166" s="91">
        <f ca="1">IFERROR(
  VLOOKUP(A166, '1C'!C:H, 6, 0),)</f>
        <v>0</v>
      </c>
      <c r="K166" s="86"/>
      <c r="L166" s="92"/>
    </row>
    <row r="167" spans="1:12" ht="26.4">
      <c r="A167" s="88" t="str">
        <f ca="1">IFERROR(__xludf.DUMMYFUNCTION("iferror(IFERROR(
HYPERLINK(
  VLOOKUP(
    INDEX(UNIQUE(FLATTEN({'1C'!$X$2:X200,'1C'!$C$2:C200})), ROW(A165)), 
    '1C'!C:O, 13, 0),
  INDEX(UNIQUE(FLATTEN({'1C'!$X$2:X200,'1C'!$C$2:C200})), ROW(A165))),
MATCH(INDEX(UNIQUE(FLATTEN({'1C'!$X$2:X200,'1C'!$C"&amp;"$2:C200})), ROW(A165)), L$3:L200, 0)
),)"),"EPS Master")</f>
        <v>EPS Master</v>
      </c>
      <c r="B167" s="111">
        <f ca="1">IFERROR(
  VLOOKUP(A167, '1C'!C:F, 4, 0),)</f>
        <v>500</v>
      </c>
      <c r="C167" s="111">
        <f ca="1">IFERROR(
  VLOOKUP(A167, '1C'!C:AA, 25, 0),)</f>
        <v>500</v>
      </c>
      <c r="D167" s="80" t="str">
        <f ca="1">IFERROR(
  VLOOKUP(A167, '1C'!C:L, 10, 0),)</f>
        <v>Przekaźnik nadmiarowy Wi-Fi z przekaźnikiem napięciowym, limitem mocy i prądu, historią, zegarem, modułem graficznym Master</v>
      </c>
      <c r="E167" s="81" t="str">
        <f ca="1">IFERROR(
  VLOOKUP(A167, '1C'!C:R, 16, 0),)</f>
        <v>DIN</v>
      </c>
      <c r="F167" s="82">
        <f ca="1">IFERROR(
  VLOOKUP(A167, '1C'!C:S, 17, 0),)</f>
        <v>2</v>
      </c>
      <c r="G167" s="83" t="str">
        <f ca="1">IFERROR(
  VLOOKUP(A167, '1C'!C:V, 20, 0),)</f>
        <v>14kW</v>
      </c>
      <c r="H167" s="81" t="str">
        <f ca="1">IFERROR(
  VLOOKUP(A167, '1C'!C:G, 5, 0),)</f>
        <v>EPSM0000S</v>
      </c>
      <c r="I167" s="90">
        <f ca="1">IFERROR( VLOOKUP(A167, '1C'!C:I, 7, 0),)</f>
        <v>4820122950337</v>
      </c>
      <c r="J167" s="91" t="str">
        <f ca="1">IFERROR(
  VLOOKUP(A167, '1C'!C:H, 6, 0),)</f>
        <v>-</v>
      </c>
      <c r="K167" s="86"/>
      <c r="L167" s="92"/>
    </row>
    <row r="168" spans="1:12" ht="26.4">
      <c r="A168" s="88" t="str">
        <f ca="1">IFERROR(__xludf.DUMMYFUNCTION("iferror(IFERROR(
HYPERLINK(
  VLOOKUP(
    INDEX(UNIQUE(FLATTEN({'1C'!$X$2:X200,'1C'!$C$2:C200})), ROW(A166)), 
    '1C'!C:O, 13, 0),
  INDEX(UNIQUE(FLATTEN({'1C'!$X$2:X200,'1C'!$C$2:C200})), ROW(A166))),
MATCH(INDEX(UNIQUE(FLATTEN({'1C'!$X$2:X200,'1C'!$C"&amp;"$2:C200})), ROW(A166)), L$3:L200, 0)
),)"),"EPS Slave")</f>
        <v>EPS Slave</v>
      </c>
      <c r="B168" s="111">
        <f ca="1">IFERROR(
  VLOOKUP(A168, '1C'!C:F, 4, 0),)</f>
        <v>335</v>
      </c>
      <c r="C168" s="111">
        <f ca="1">IFERROR(
  VLOOKUP(A168, '1C'!C:AA, 25, 0),)</f>
        <v>335</v>
      </c>
      <c r="D168" s="80" t="str">
        <f ca="1">IFERROR(
  VLOOKUP(A168, '1C'!C:L, 10, 0),)</f>
        <v>Przekaźnik nadmiarowy Wi-Fi z przekaźnikiem napięciowym, limitem mocy i prądu, historią, zegarem, modułem graficznym Slave</v>
      </c>
      <c r="E168" s="81" t="str">
        <f ca="1">IFERROR(
  VLOOKUP(A168, '1C'!C:R, 16, 0),)</f>
        <v>gniazdo wtykowe</v>
      </c>
      <c r="F168" s="82" t="str">
        <f ca="1">IFERROR(
  VLOOKUP(A168, '1C'!C:S, 17, 0),)</f>
        <v>-</v>
      </c>
      <c r="G168" s="83" t="str">
        <f ca="1">IFERROR(
  VLOOKUP(A168, '1C'!C:V, 20, 0),)</f>
        <v>3,6kW</v>
      </c>
      <c r="H168" s="81" t="str">
        <f ca="1">IFERROR(
  VLOOKUP(A168, '1C'!C:G, 5, 0),)</f>
        <v>EPSS0000S</v>
      </c>
      <c r="I168" s="90">
        <f ca="1">IFERROR( VLOOKUP(A168, '1C'!C:I, 7, 0),)</f>
        <v>4820122950344</v>
      </c>
      <c r="J168" s="91">
        <f ca="1">IFERROR(
  VLOOKUP(A168, '1C'!C:H, 6, 0),)</f>
        <v>0</v>
      </c>
      <c r="K168" s="86"/>
      <c r="L168" s="92"/>
    </row>
    <row r="169" spans="1:12" ht="26.4">
      <c r="A169" s="88" t="str">
        <f ca="1">IFERROR(__xludf.DUMMYFUNCTION("iferror(IFERROR(
HYPERLINK(
  VLOOKUP(
    INDEX(UNIQUE(FLATTEN({'1C'!$X$2:X200,'1C'!$C$2:C200})), ROW(A167)), 
    '1C'!C:O, 13, 0),
  INDEX(UNIQUE(FLATTEN({'1C'!$X$2:X200,'1C'!$C$2:C200})), ROW(A167))),
MATCH(INDEX(UNIQUE(FLATTEN({'1C'!$X$2:X200,'1C'!$C"&amp;"$2:C200})), ROW(A167)), L$3:L200, 0)
),)"),"EPS 1+1 (master+slave)")</f>
        <v>EPS 1+1 (master+slave)</v>
      </c>
      <c r="B169" s="111">
        <f ca="1">IFERROR(
  VLOOKUP(A169, '1C'!C:F, 4, 0),)</f>
        <v>835</v>
      </c>
      <c r="C169" s="111">
        <f ca="1">IFERROR(
  VLOOKUP(A169, '1C'!C:AA, 25, 0),)</f>
        <v>835</v>
      </c>
      <c r="D169" s="80" t="str">
        <f ca="1">IFERROR(
  VLOOKUP(A169, '1C'!C:L, 10, 0),)</f>
        <v>Przekaźnik nadmiarowy Wi-Fi z przekaźnikiem napięciowym, limitem mocy i prądu, historią, zegarem, modułem graficznym Master + Slave</v>
      </c>
      <c r="E169" s="81" t="str">
        <f ca="1">IFERROR(
  VLOOKUP(A169, '1C'!C:R, 16, 0),)</f>
        <v>inne</v>
      </c>
      <c r="F169" s="82" t="str">
        <f ca="1">IFERROR(
  VLOOKUP(A169, '1C'!C:S, 17, 0),)</f>
        <v>-</v>
      </c>
      <c r="G169" s="83" t="str">
        <f ca="1">IFERROR(
  VLOOKUP(A169, '1C'!C:V, 20, 0),)</f>
        <v>-</v>
      </c>
      <c r="H169" s="81" t="str">
        <f ca="1">IFERROR(
  VLOOKUP(A169, '1C'!C:G, 5, 0),)</f>
        <v>EPSMS000S</v>
      </c>
      <c r="I169" s="90">
        <f ca="1">IFERROR( VLOOKUP(A169, '1C'!C:I, 7, 0),)</f>
        <v>4820122950320</v>
      </c>
      <c r="J169" s="91">
        <f ca="1">IFERROR(
  VLOOKUP(A169, '1C'!C:H, 6, 0),)</f>
        <v>0</v>
      </c>
      <c r="K169" s="86"/>
      <c r="L169" s="92"/>
    </row>
    <row r="170" spans="1:12" ht="14.4">
      <c r="A170" s="93" t="str">
        <f ca="1">IFERROR(__xludf.DUMMYFUNCTION("iferror(IFERROR(
HYPERLINK(
  VLOOKUP(
    INDEX(UNIQUE(FLATTEN({'1C'!$X$2:X200,'1C'!$C$2:C200})), ROW(A168)), 
    '1C'!C:O, 13, 0),
  INDEX(UNIQUE(FLATTEN({'1C'!$X$2:X200,'1C'!$C$2:C200})), ROW(A168))),
MATCH(INDEX(UNIQUE(FLATTEN({'1C'!$X$2:X200,'1C'!$C"&amp;"$2:C200})), ROW(A168)), L$3:L200, 0)
),)"),"STABILIZATORY NAPIĘCIA")</f>
        <v>STABILIZATORY NAPIĘCIA</v>
      </c>
      <c r="B170" s="111">
        <f ca="1">IFERROR(
  VLOOKUP(A170, '1C'!C:F, 4, 0),)</f>
        <v>0</v>
      </c>
      <c r="C170" s="111">
        <f ca="1">IFERROR(
  VLOOKUP(A170, '1C'!C:AA, 25, 0),)</f>
        <v>0</v>
      </c>
      <c r="D170" s="80">
        <f ca="1">IFERROR(
  VLOOKUP(A170, '1C'!C:L, 10, 0),)</f>
        <v>0</v>
      </c>
      <c r="E170" s="81">
        <f ca="1">IFERROR(
  VLOOKUP(A170, '1C'!C:R, 16, 0),)</f>
        <v>0</v>
      </c>
      <c r="F170" s="82">
        <f ca="1">IFERROR(
  VLOOKUP(A170, '1C'!C:S, 17, 0),)</f>
        <v>0</v>
      </c>
      <c r="G170" s="83">
        <f ca="1">IFERROR(
  VLOOKUP(A170, '1C'!C:V, 20, 0),)</f>
        <v>0</v>
      </c>
      <c r="H170" s="81">
        <f ca="1">IFERROR(
  VLOOKUP(A170, '1C'!C:G, 5, 0),)</f>
        <v>0</v>
      </c>
      <c r="I170" s="90">
        <f ca="1">IFERROR( VLOOKUP(A170, '1C'!C:I, 7, 0),)</f>
        <v>0</v>
      </c>
      <c r="J170" s="91">
        <f ca="1">IFERROR(
  VLOOKUP(A170, '1C'!C:H, 6, 0),)</f>
        <v>0</v>
      </c>
      <c r="K170" s="86"/>
      <c r="L170" s="92"/>
    </row>
    <row r="171" spans="1:12" ht="26.4">
      <c r="A171" s="93" t="str">
        <f ca="1">IFERROR(__xludf.DUMMYFUNCTION("iferror(IFERROR(
HYPERLINK(
  VLOOKUP(
    INDEX(UNIQUE(FLATTEN({'1C'!$X$2:X200,'1C'!$C$2:C200})), ROW(A169)), 
    '1C'!C:O, 13, 0),
  INDEX(UNIQUE(FLATTEN({'1C'!$X$2:X200,'1C'!$C$2:C200})), ROW(A169))),
MATCH(INDEX(UNIQUE(FLATTEN({'1C'!$X$2:X200,'1C'!$C"&amp;"$2:C200})), ROW(A169)), L$3:L200, 0)
),)"),"LEGAT-5М")</f>
        <v>LEGAT-5М</v>
      </c>
      <c r="B171" s="111" t="str">
        <f ca="1">IFERROR(
  VLOOKUP(A171, '1C'!C:F, 4, 0),)</f>
        <v>na zamówienie</v>
      </c>
      <c r="C171" s="111" t="str">
        <f ca="1">IFERROR(
  VLOOKUP(A171, '1C'!C:AA, 25, 0),)</f>
        <v>na zamówienie</v>
      </c>
      <c r="D171" s="80" t="str">
        <f ca="1">IFERROR(
  VLOOKUP(A171, '1C'!C:L, 10, 0),)</f>
        <v>Jednofazowy regulator napięcia Legat-5M przeznaczony jest do zasilania wysokiego napięcia dla różnych odbiorców w 220V / 50Hz o mocy do 500VA.</v>
      </c>
      <c r="E171" s="81" t="str">
        <f ca="1">IFERROR(
  VLOOKUP(A171, '1C'!C:R, 16, 0),)</f>
        <v>inne</v>
      </c>
      <c r="F171" s="82" t="str">
        <f ca="1">IFERROR(
  VLOOKUP(A171, '1C'!C:S, 17, 0),)</f>
        <v>-</v>
      </c>
      <c r="G171" s="83" t="str">
        <f ca="1">IFERROR(
  VLOOKUP(A171, '1C'!C:V, 20, 0),)</f>
        <v>0,5kW</v>
      </c>
      <c r="H171" s="81" t="str">
        <f ca="1">IFERROR(
  VLOOKUP(A171, '1C'!C:G, 5, 0),)</f>
        <v>NTLG5M000</v>
      </c>
      <c r="I171" s="90">
        <f ca="1">IFERROR( VLOOKUP(A171, '1C'!C:I, 7, 0),)</f>
        <v>0</v>
      </c>
      <c r="J171" s="91" t="str">
        <f ca="1">IFERROR(
  VLOOKUP(A171, '1C'!C:H, 6, 0),)</f>
        <v>9032 89 00 00</v>
      </c>
      <c r="K171" s="86"/>
      <c r="L171" s="92"/>
    </row>
    <row r="172" spans="1:12" ht="26.4">
      <c r="A172" s="93" t="str">
        <f ca="1">IFERROR(__xludf.DUMMYFUNCTION("iferror(IFERROR(
HYPERLINK(
  VLOOKUP(
    INDEX(UNIQUE(FLATTEN({'1C'!$X$2:X200,'1C'!$C$2:C200})), ROW(A170)), 
    '1C'!C:O, 13, 0),
  INDEX(UNIQUE(FLATTEN({'1C'!$X$2:X200,'1C'!$C$2:C200})), ROW(A170))),
MATCH(INDEX(UNIQUE(FLATTEN({'1C'!$X$2:X200,'1C'!$C"&amp;"$2:C200})), ROW(A170)), L$3:L200, 0)
),)"),"LEGAT-35")</f>
        <v>LEGAT-35</v>
      </c>
      <c r="B172" s="111" t="str">
        <f ca="1">IFERROR(
  VLOOKUP(A172, '1C'!C:F, 4, 0),)</f>
        <v>na zamówienie</v>
      </c>
      <c r="C172" s="111" t="str">
        <f ca="1">IFERROR(
  VLOOKUP(A172, '1C'!C:AA, 25, 0),)</f>
        <v>na zamówienie</v>
      </c>
      <c r="D172" s="80" t="str">
        <f ca="1">IFERROR(
  VLOOKUP(A172, '1C'!C:L, 10, 0),)</f>
        <v>Jednofazowy regulator napięcia Legat-35 jest przeznaczony do zapewnienia wysokiego napięcia zasilania dla różnych odbiorników o poborze mocy 220V / 50Hz do 3500VA.</v>
      </c>
      <c r="E172" s="81" t="str">
        <f ca="1">IFERROR(
  VLOOKUP(A172, '1C'!C:R, 16, 0),)</f>
        <v>inne</v>
      </c>
      <c r="F172" s="82" t="str">
        <f ca="1">IFERROR(
  VLOOKUP(A172, '1C'!C:S, 17, 0),)</f>
        <v>-</v>
      </c>
      <c r="G172" s="83" t="str">
        <f ca="1">IFERROR(
  VLOOKUP(A172, '1C'!C:V, 20, 0),)</f>
        <v>3,5kW</v>
      </c>
      <c r="H172" s="81" t="str">
        <f ca="1">IFERROR(
  VLOOKUP(A172, '1C'!C:G, 5, 0),)</f>
        <v>NTLG35000</v>
      </c>
      <c r="I172" s="90">
        <f ca="1">IFERROR( VLOOKUP(A172, '1C'!C:I, 7, 0),)</f>
        <v>0</v>
      </c>
      <c r="J172" s="91" t="str">
        <f ca="1">IFERROR(
  VLOOKUP(A172, '1C'!C:H, 6, 0),)</f>
        <v>9032 89 00 00</v>
      </c>
      <c r="K172" s="86"/>
      <c r="L172" s="92"/>
    </row>
    <row r="173" spans="1:12" ht="26.4">
      <c r="A173" s="93" t="str">
        <f ca="1">IFERROR(__xludf.DUMMYFUNCTION("iferror(IFERROR(
HYPERLINK(
  VLOOKUP(
    INDEX(UNIQUE(FLATTEN({'1C'!$X$2:X200,'1C'!$C$2:C200})), ROW(A171)), 
    '1C'!C:O, 13, 0),
  INDEX(UNIQUE(FLATTEN({'1C'!$X$2:X200,'1C'!$C$2:C200})), ROW(A171))),
MATCH(INDEX(UNIQUE(FLATTEN({'1C'!$X$2:X200,'1C'!$C"&amp;"$2:C200})), ROW(A171)), L$3:L200, 0)
),)"),"LEGAT-65")</f>
        <v>LEGAT-65</v>
      </c>
      <c r="B173" s="111" t="str">
        <f ca="1">IFERROR(
  VLOOKUP(A173, '1C'!C:F, 4, 0),)</f>
        <v>na zamówienie</v>
      </c>
      <c r="C173" s="111" t="str">
        <f ca="1">IFERROR(
  VLOOKUP(A173, '1C'!C:AA, 25, 0),)</f>
        <v>na zamówienie</v>
      </c>
      <c r="D173" s="80" t="str">
        <f ca="1">IFERROR(
  VLOOKUP(A173, '1C'!C:L, 10, 0),)</f>
        <v>Jednofazowy regulator napięcia Legat-65 jest przeznaczony do zapewnienia wysokiego napięcia zasilania dla różnych odbiorników o poborze mocy 220V / 50Hz do 6500VA.</v>
      </c>
      <c r="E173" s="81" t="str">
        <f ca="1">IFERROR(
  VLOOKUP(A173, '1C'!C:R, 16, 0),)</f>
        <v>inne</v>
      </c>
      <c r="F173" s="82" t="str">
        <f ca="1">IFERROR(
  VLOOKUP(A173, '1C'!C:S, 17, 0),)</f>
        <v>-</v>
      </c>
      <c r="G173" s="83" t="str">
        <f ca="1">IFERROR(
  VLOOKUP(A173, '1C'!C:V, 20, 0),)</f>
        <v>6,5kW</v>
      </c>
      <c r="H173" s="81" t="str">
        <f ca="1">IFERROR(
  VLOOKUP(A173, '1C'!C:G, 5, 0),)</f>
        <v>NTLG65000</v>
      </c>
      <c r="I173" s="90">
        <f ca="1">IFERROR( VLOOKUP(A173, '1C'!C:I, 7, 0),)</f>
        <v>0</v>
      </c>
      <c r="J173" s="91" t="str">
        <f ca="1">IFERROR(
  VLOOKUP(A173, '1C'!C:H, 6, 0),)</f>
        <v>9032 89 00 00</v>
      </c>
      <c r="K173" s="86"/>
      <c r="L173" s="92"/>
    </row>
    <row r="174" spans="1:12" ht="14.4">
      <c r="A174" s="93" t="str">
        <f ca="1">IFERROR(__xludf.DUMMYFUNCTION("iferror(IFERROR(
HYPERLINK(
  VLOOKUP(
    INDEX(UNIQUE(FLATTEN({'1C'!$X$2:X200,'1C'!$C$2:C200})), ROW(A172)), 
    '1C'!C:O, 13, 0),
  INDEX(UNIQUE(FLATTEN({'1C'!$X$2:X200,'1C'!$C$2:C200})), ROW(A172))),
MATCH(INDEX(UNIQUE(FLATTEN({'1C'!$X$2:X200,'1C'!$C"&amp;"$2:C200})), ROW(A172)), L$3:L200, 0)
),)"),"UPS -1000")</f>
        <v>UPS -1000</v>
      </c>
      <c r="B174" s="111">
        <f ca="1">IFERROR(
  VLOOKUP(A174, '1C'!C:F, 4, 0),)</f>
        <v>1150</v>
      </c>
      <c r="C174" s="111">
        <f ca="1">IFERROR(
  VLOOKUP(A174, '1C'!C:AA, 25, 0),)</f>
        <v>1150</v>
      </c>
      <c r="D174" s="80">
        <f ca="1">IFERROR(
  VLOOKUP(A174, '1C'!C:L, 10, 0),)</f>
        <v>0</v>
      </c>
      <c r="E174" s="81" t="str">
        <f ca="1">IFERROR(
  VLOOKUP(A174, '1C'!C:R, 16, 0),)</f>
        <v>inne</v>
      </c>
      <c r="F174" s="82" t="str">
        <f ca="1">IFERROR(
  VLOOKUP(A174, '1C'!C:S, 17, 0),)</f>
        <v>-</v>
      </c>
      <c r="G174" s="83" t="str">
        <f ca="1">IFERROR(
  VLOOKUP(A174, '1C'!C:V, 20, 0),)</f>
        <v>-</v>
      </c>
      <c r="H174" s="81" t="str">
        <f ca="1">IFERROR(
  VLOOKUP(A174, '1C'!C:G, 5, 0),)</f>
        <v>NTUPS0000</v>
      </c>
      <c r="I174" s="90">
        <f ca="1">IFERROR( VLOOKUP(A174, '1C'!C:I, 7, 0),)</f>
        <v>0</v>
      </c>
      <c r="J174" s="91" t="str">
        <f ca="1">IFERROR(
  VLOOKUP(A174, '1C'!C:H, 6, 0),)</f>
        <v>8504 40 90 90</v>
      </c>
      <c r="K174" s="96"/>
      <c r="L174" s="92"/>
    </row>
    <row r="175" spans="1:12" ht="14.4">
      <c r="A175" s="93" t="str">
        <f ca="1">IFERROR(__xludf.DUMMYFUNCTION("iferror(IFERROR(
HYPERLINK(
  VLOOKUP(
    INDEX(UNIQUE(FLATTEN({'1C'!$X$2:X200,'1C'!$C$2:C200})), ROW(A173)), 
    '1C'!C:O, 13, 0),
  INDEX(UNIQUE(FLATTEN({'1C'!$X$2:X200,'1C'!$C$2:C200})), ROW(A173))),
MATCH(INDEX(UNIQUE(FLATTEN({'1C'!$X$2:X200,'1C'!$C"&amp;"$2:C200})), ROW(A173)), L$3:L200, 0)
),)"),"PS-220/12-3")</f>
        <v>PS-220/12-3</v>
      </c>
      <c r="B175" s="111">
        <f ca="1">IFERROR(
  VLOOKUP(A175, '1C'!C:F, 4, 0),)</f>
        <v>270</v>
      </c>
      <c r="C175" s="111">
        <f ca="1">IFERROR(
  VLOOKUP(A175, '1C'!C:AA, 25, 0),)</f>
        <v>270</v>
      </c>
      <c r="D175" s="80">
        <f ca="1">IFERROR(
  VLOOKUP(A175, '1C'!C:L, 10, 0),)</f>
        <v>0</v>
      </c>
      <c r="E175" s="81" t="str">
        <f ca="1">IFERROR(
  VLOOKUP(A175, '1C'!C:R, 16, 0),)</f>
        <v>inne</v>
      </c>
      <c r="F175" s="82">
        <f ca="1">IFERROR(
  VLOOKUP(A175, '1C'!C:S, 17, 0),)</f>
        <v>4</v>
      </c>
      <c r="G175" s="83">
        <f ca="1">IFERROR(
  VLOOKUP(A175, '1C'!C:V, 20, 0),)</f>
        <v>0</v>
      </c>
      <c r="H175" s="81" t="str">
        <f ca="1">IFERROR(
  VLOOKUP(A175, '1C'!C:G, 5, 0),)</f>
        <v>-</v>
      </c>
      <c r="I175" s="90">
        <f ca="1">IFERROR( VLOOKUP(A175, '1C'!C:I, 7, 0),)</f>
        <v>0</v>
      </c>
      <c r="J175" s="91" t="str">
        <f ca="1">IFERROR(
  VLOOKUP(A175, '1C'!C:H, 6, 0),)</f>
        <v>-</v>
      </c>
      <c r="K175" s="86"/>
      <c r="L175" s="92"/>
    </row>
    <row r="176" spans="1:12" ht="14.4">
      <c r="A176" s="93" t="str">
        <f ca="1">IFERROR(__xludf.DUMMYFUNCTION("iferror(IFERROR(
HYPERLINK(
  VLOOKUP(
    INDEX(UNIQUE(FLATTEN({'1C'!$X$2:X200,'1C'!$C$2:C200})), ROW(A174)), 
    '1C'!C:O, 13, 0),
  INDEX(UNIQUE(FLATTEN({'1C'!$X$2:X200,'1C'!$C$2:C200})), ROW(A174))),
MATCH(INDEX(UNIQUE(FLATTEN({'1C'!$X$2:X200,'1C'!$C"&amp;"$2:C200})), ROW(A174)), L$3:L200, 0)
),)"),"PS-220/24-1,5")</f>
        <v>PS-220/24-1,5</v>
      </c>
      <c r="B176" s="111">
        <f ca="1">IFERROR(
  VLOOKUP(A176, '1C'!C:F, 4, 0),)</f>
        <v>270</v>
      </c>
      <c r="C176" s="111">
        <f ca="1">IFERROR(
  VLOOKUP(A176, '1C'!C:AA, 25, 0),)</f>
        <v>270</v>
      </c>
      <c r="D176" s="80">
        <f ca="1">IFERROR(
  VLOOKUP(A176, '1C'!C:L, 10, 0),)</f>
        <v>0</v>
      </c>
      <c r="E176" s="81" t="str">
        <f ca="1">IFERROR(
  VLOOKUP(A176, '1C'!C:R, 16, 0),)</f>
        <v>inne</v>
      </c>
      <c r="F176" s="82">
        <f ca="1">IFERROR(
  VLOOKUP(A176, '1C'!C:S, 17, 0),)</f>
        <v>4</v>
      </c>
      <c r="G176" s="83">
        <f ca="1">IFERROR(
  VLOOKUP(A176, '1C'!C:V, 20, 0),)</f>
        <v>0</v>
      </c>
      <c r="H176" s="81" t="str">
        <f ca="1">IFERROR(
  VLOOKUP(A176, '1C'!C:G, 5, 0),)</f>
        <v>-</v>
      </c>
      <c r="I176" s="90">
        <f ca="1">IFERROR( VLOOKUP(A176, '1C'!C:I, 7, 0),)</f>
        <v>0</v>
      </c>
      <c r="J176" s="91" t="str">
        <f ca="1">IFERROR(
  VLOOKUP(A176, '1C'!C:H, 6, 0),)</f>
        <v>-</v>
      </c>
      <c r="K176" s="86"/>
      <c r="L176" s="92"/>
    </row>
    <row r="177" spans="1:12" ht="14.4">
      <c r="A177" s="93" t="str">
        <f ca="1">IFERROR(__xludf.DUMMYFUNCTION("iferror(IFERROR(
HYPERLINK(
  VLOOKUP(
    INDEX(UNIQUE(FLATTEN({'1C'!$X$2:X200,'1C'!$C$2:C200})), ROW(A175)), 
    '1C'!C:O, 13, 0),
  INDEX(UNIQUE(FLATTEN({'1C'!$X$2:X200,'1C'!$C$2:C200})), ROW(A175))),
MATCH(INDEX(UNIQUE(FLATTEN({'1C'!$X$2:X200,'1C'!$C"&amp;"$2:C200})), ROW(A175)), L$3:L200, 0)
),)"),"PS-220/48-0,75")</f>
        <v>PS-220/48-0,75</v>
      </c>
      <c r="B177" s="111">
        <f ca="1">IFERROR(
  VLOOKUP(A177, '1C'!C:F, 4, 0),)</f>
        <v>270</v>
      </c>
      <c r="C177" s="111">
        <f ca="1">IFERROR(
  VLOOKUP(A177, '1C'!C:AA, 25, 0),)</f>
        <v>270</v>
      </c>
      <c r="D177" s="80">
        <f ca="1">IFERROR(
  VLOOKUP(A177, '1C'!C:L, 10, 0),)</f>
        <v>0</v>
      </c>
      <c r="E177" s="81" t="str">
        <f ca="1">IFERROR(
  VLOOKUP(A177, '1C'!C:R, 16, 0),)</f>
        <v>inne</v>
      </c>
      <c r="F177" s="82">
        <f ca="1">IFERROR(
  VLOOKUP(A177, '1C'!C:S, 17, 0),)</f>
        <v>4</v>
      </c>
      <c r="G177" s="83">
        <f ca="1">IFERROR(
  VLOOKUP(A177, '1C'!C:V, 20, 0),)</f>
        <v>0</v>
      </c>
      <c r="H177" s="81" t="str">
        <f ca="1">IFERROR(
  VLOOKUP(A177, '1C'!C:G, 5, 0),)</f>
        <v>-</v>
      </c>
      <c r="I177" s="90">
        <f ca="1">IFERROR( VLOOKUP(A177, '1C'!C:I, 7, 0),)</f>
        <v>0</v>
      </c>
      <c r="J177" s="91" t="str">
        <f ca="1">IFERROR(
  VLOOKUP(A177, '1C'!C:H, 6, 0),)</f>
        <v>-</v>
      </c>
      <c r="K177" s="86"/>
      <c r="L177" s="92"/>
    </row>
    <row r="178" spans="1:12" ht="14.4">
      <c r="A178" s="93" t="str">
        <f ca="1">IFERROR(__xludf.DUMMYFUNCTION("iferror(IFERROR(
HYPERLINK(
  VLOOKUP(
    INDEX(UNIQUE(FLATTEN({'1C'!$X$2:X200,'1C'!$C$2:C200})), ROW(A176)), 
    '1C'!C:O, 13, 0),
  INDEX(UNIQUE(FLATTEN({'1C'!$X$2:X200,'1C'!$C$2:C200})), ROW(A176))),
MATCH(INDEX(UNIQUE(FLATTEN({'1C'!$X$2:X200,'1C'!$C"&amp;"$2:C200})), ROW(A176)), L$3:L200, 0)
),)"),"PS-220/5-7")</f>
        <v>PS-220/5-7</v>
      </c>
      <c r="B178" s="111">
        <f ca="1">IFERROR(
  VLOOKUP(A178, '1C'!C:F, 4, 0),)</f>
        <v>270</v>
      </c>
      <c r="C178" s="111">
        <f ca="1">IFERROR(
  VLOOKUP(A178, '1C'!C:AA, 25, 0),)</f>
        <v>270</v>
      </c>
      <c r="D178" s="80">
        <f ca="1">IFERROR(
  VLOOKUP(A178, '1C'!C:L, 10, 0),)</f>
        <v>0</v>
      </c>
      <c r="E178" s="81" t="str">
        <f ca="1">IFERROR(
  VLOOKUP(A178, '1C'!C:R, 16, 0),)</f>
        <v>inne</v>
      </c>
      <c r="F178" s="82">
        <f ca="1">IFERROR(
  VLOOKUP(A178, '1C'!C:S, 17, 0),)</f>
        <v>4</v>
      </c>
      <c r="G178" s="83">
        <f ca="1">IFERROR(
  VLOOKUP(A178, '1C'!C:V, 20, 0),)</f>
        <v>0</v>
      </c>
      <c r="H178" s="81" t="str">
        <f ca="1">IFERROR(
  VLOOKUP(A178, '1C'!C:G, 5, 0),)</f>
        <v>-</v>
      </c>
      <c r="I178" s="90">
        <f ca="1">IFERROR( VLOOKUP(A178, '1C'!C:I, 7, 0),)</f>
        <v>0</v>
      </c>
      <c r="J178" s="91" t="str">
        <f ca="1">IFERROR(
  VLOOKUP(A178, '1C'!C:H, 6, 0),)</f>
        <v>-</v>
      </c>
      <c r="K178" s="86"/>
      <c r="L178" s="92"/>
    </row>
    <row r="179" spans="1:12" ht="14.4">
      <c r="A179" s="93" t="str">
        <f ca="1">IFERROR(__xludf.DUMMYFUNCTION("iferror(IFERROR(
HYPERLINK(
  VLOOKUP(
    INDEX(UNIQUE(FLATTEN({'1C'!$X$2:X200,'1C'!$C$2:C200})), ROW(A177)), 
    '1C'!C:O, 13, 0),
  INDEX(UNIQUE(FLATTEN({'1C'!$X$2:X200,'1C'!$C$2:C200})), ROW(A177))),
MATCH(INDEX(UNIQUE(FLATTEN({'1C'!$X$2:X200,'1C'!$C"&amp;"$2:C200})), ROW(A177)), L$3:L200, 0)
),)"),"Panele sterowania")</f>
        <v>Panele sterowania</v>
      </c>
      <c r="B179" s="111">
        <f ca="1">IFERROR(
  VLOOKUP(A179, '1C'!C:F, 4, 0),)</f>
        <v>0</v>
      </c>
      <c r="C179" s="111">
        <f ca="1">IFERROR(
  VLOOKUP(A179, '1C'!C:AA, 25, 0),)</f>
        <v>0</v>
      </c>
      <c r="D179" s="80">
        <f ca="1">IFERROR(
  VLOOKUP(A179, '1C'!C:L, 10, 0),)</f>
        <v>0</v>
      </c>
      <c r="E179" s="81">
        <f ca="1">IFERROR(
  VLOOKUP(A179, '1C'!C:R, 16, 0),)</f>
        <v>0</v>
      </c>
      <c r="F179" s="82">
        <f ca="1">IFERROR(
  VLOOKUP(A179, '1C'!C:S, 17, 0),)</f>
        <v>0</v>
      </c>
      <c r="G179" s="83">
        <f ca="1">IFERROR(
  VLOOKUP(A179, '1C'!C:V, 20, 0),)</f>
        <v>0</v>
      </c>
      <c r="H179" s="81">
        <f ca="1">IFERROR(
  VLOOKUP(A179, '1C'!C:G, 5, 0),)</f>
        <v>0</v>
      </c>
      <c r="I179" s="90">
        <f ca="1">IFERROR( VLOOKUP(A179, '1C'!C:I, 7, 0),)</f>
        <v>0</v>
      </c>
      <c r="J179" s="91">
        <f ca="1">IFERROR(
  VLOOKUP(A179, '1C'!C:H, 6, 0),)</f>
        <v>0</v>
      </c>
      <c r="K179" s="86"/>
      <c r="L179" s="92"/>
    </row>
    <row r="180" spans="1:12" ht="14.4">
      <c r="A180" s="93" t="str">
        <f ca="1">IFERROR(__xludf.DUMMYFUNCTION("iferror(IFERROR(
HYPERLINK(
  VLOOKUP(
    INDEX(UNIQUE(FLATTEN({'1C'!$X$2:X200,'1C'!$C$2:C200})), ROW(A178)), 
    '1C'!C:O, 13, 0),
  INDEX(UNIQUE(FLATTEN({'1C'!$X$2:X200,'1C'!$C$2:C200})), ROW(A178))),
MATCH(INDEX(UNIQUE(FLATTEN({'1C'!$X$2:X200,'1C'!$C"&amp;"$2:C200})), ROW(A178)), L$3:L200, 0)
),)"),"ABP")</f>
        <v>ABP</v>
      </c>
      <c r="B180" s="111" t="str">
        <f ca="1">IFERROR(
  VLOOKUP(A180, '1C'!C:F, 4, 0),)</f>
        <v>na zamówienie</v>
      </c>
      <c r="C180" s="111" t="str">
        <f ca="1">IFERROR(
  VLOOKUP(A180, '1C'!C:AA, 25, 0),)</f>
        <v>na zamówienie</v>
      </c>
      <c r="D180" s="80" t="str">
        <f ca="1">IFERROR(
  VLOOKUP(A180, '1C'!C:L, 10, 0),)</f>
        <v>Wieża kontrolna z automatycznym podawaniem rezerwy, według zamówienia</v>
      </c>
      <c r="E180" s="81" t="str">
        <f ca="1">IFERROR(
  VLOOKUP(A180, '1C'!C:R, 16, 0),)</f>
        <v>panel sterowania</v>
      </c>
      <c r="F180" s="82" t="str">
        <f ca="1">IFERROR(
  VLOOKUP(A180, '1C'!C:S, 17, 0),)</f>
        <v>-</v>
      </c>
      <c r="G180" s="83" t="str">
        <f ca="1">IFERROR(
  VLOOKUP(A180, '1C'!C:V, 20, 0),)</f>
        <v>-</v>
      </c>
      <c r="H180" s="81" t="str">
        <f ca="1">IFERROR(
  VLOOKUP(A180, '1C'!C:G, 5, 0),)</f>
        <v>-</v>
      </c>
      <c r="I180" s="90" t="str">
        <f ca="1">IFERROR( VLOOKUP(A180, '1C'!C:I, 7, 0),)</f>
        <v>-</v>
      </c>
      <c r="J180" s="91" t="str">
        <f ca="1">IFERROR(
  VLOOKUP(A180, '1C'!C:H, 6, 0),)</f>
        <v>-</v>
      </c>
      <c r="K180" s="86"/>
      <c r="L180" s="92"/>
    </row>
    <row r="181" spans="1:12" ht="14.4">
      <c r="A181" s="93" t="str">
        <f ca="1">IFERROR(__xludf.DUMMYFUNCTION("iferror(IFERROR(
HYPERLINK(
  VLOOKUP(
    INDEX(UNIQUE(FLATTEN({'1C'!$X$2:X200,'1C'!$C$2:C200})), ROW(A179)), 
    '1C'!C:O, 13, 0),
  INDEX(UNIQUE(FLATTEN({'1C'!$X$2:X200,'1C'!$C$2:C200})), ROW(A179))),
MATCH(INDEX(UNIQUE(FLATTEN({'1C'!$X$2:X200,'1C'!$C"&amp;"$2:C200})), ROW(A179)), L$3:L200, 0)
),)"),"Light")</f>
        <v>Light</v>
      </c>
      <c r="B181" s="111" t="str">
        <f ca="1">IFERROR(
  VLOOKUP(A181, '1C'!C:F, 4, 0),)</f>
        <v>na zamówienie</v>
      </c>
      <c r="C181" s="111" t="str">
        <f ca="1">IFERROR(
  VLOOKUP(A181, '1C'!C:AA, 25, 0),)</f>
        <v>na zamówienie</v>
      </c>
      <c r="D181" s="80" t="str">
        <f ca="1">IFERROR(
  VLOOKUP(A181, '1C'!C:L, 10, 0),)</f>
        <v>Wieża kontrolna do oświetlenia zewnętrznego według zamówienia</v>
      </c>
      <c r="E181" s="81" t="str">
        <f ca="1">IFERROR(
  VLOOKUP(A181, '1C'!C:R, 16, 0),)</f>
        <v>panel sterowania</v>
      </c>
      <c r="F181" s="82" t="str">
        <f ca="1">IFERROR(
  VLOOKUP(A181, '1C'!C:S, 17, 0),)</f>
        <v>-</v>
      </c>
      <c r="G181" s="83" t="str">
        <f ca="1">IFERROR(
  VLOOKUP(A181, '1C'!C:V, 20, 0),)</f>
        <v>-</v>
      </c>
      <c r="H181" s="81" t="str">
        <f ca="1">IFERROR(
  VLOOKUP(A181, '1C'!C:G, 5, 0),)</f>
        <v>-</v>
      </c>
      <c r="I181" s="90" t="str">
        <f ca="1">IFERROR( VLOOKUP(A181, '1C'!C:I, 7, 0),)</f>
        <v>-</v>
      </c>
      <c r="J181" s="91">
        <f ca="1">IFERROR(
  VLOOKUP(A181, '1C'!C:H, 6, 0),)</f>
        <v>0</v>
      </c>
      <c r="K181" s="86"/>
      <c r="L181" s="92"/>
    </row>
    <row r="182" spans="1:12" ht="14.4">
      <c r="A182" s="93" t="str">
        <f ca="1">IFERROR(__xludf.DUMMYFUNCTION("iferror(IFERROR(
HYPERLINK(
  VLOOKUP(
    INDEX(UNIQUE(FLATTEN({'1C'!$X$2:X200,'1C'!$C$2:C200})), ROW(A180)), 
    '1C'!C:O, 13, 0),
  INDEX(UNIQUE(FLATTEN({'1C'!$X$2:X200,'1C'!$C$2:C200})), ROW(A180))),
MATCH(INDEX(UNIQUE(FLATTEN({'1C'!$X$2:X200,'1C'!$C"&amp;"$2:C200})), ROW(A180)), L$3:L200, 0)
),)"),"Lumen")</f>
        <v>Lumen</v>
      </c>
      <c r="B182" s="111" t="str">
        <f ca="1">IFERROR(
  VLOOKUP(A182, '1C'!C:F, 4, 0),)</f>
        <v>na zamówienie</v>
      </c>
      <c r="C182" s="111" t="str">
        <f ca="1">IFERROR(
  VLOOKUP(A182, '1C'!C:AA, 25, 0),)</f>
        <v>na zamówienie</v>
      </c>
      <c r="D182" s="80" t="str">
        <f ca="1">IFERROR(
  VLOOKUP(A182, '1C'!C:L, 10, 0),)</f>
        <v>Zarządzanie i monitorowanie wewnętrznych linii oświetleniowych overvis lumen</v>
      </c>
      <c r="E182" s="81" t="str">
        <f ca="1">IFERROR(
  VLOOKUP(A182, '1C'!C:R, 16, 0),)</f>
        <v>panel sterowania</v>
      </c>
      <c r="F182" s="82" t="str">
        <f ca="1">IFERROR(
  VLOOKUP(A182, '1C'!C:S, 17, 0),)</f>
        <v>-</v>
      </c>
      <c r="G182" s="83" t="str">
        <f ca="1">IFERROR(
  VLOOKUP(A182, '1C'!C:V, 20, 0),)</f>
        <v>-</v>
      </c>
      <c r="H182" s="81" t="str">
        <f ca="1">IFERROR(
  VLOOKUP(A182, '1C'!C:G, 5, 0),)</f>
        <v>-</v>
      </c>
      <c r="I182" s="90" t="str">
        <f ca="1">IFERROR( VLOOKUP(A182, '1C'!C:I, 7, 0),)</f>
        <v>-</v>
      </c>
      <c r="J182" s="91">
        <f ca="1">IFERROR(
  VLOOKUP(A182, '1C'!C:H, 6, 0),)</f>
        <v>0</v>
      </c>
      <c r="K182" s="86"/>
      <c r="L182" s="92"/>
    </row>
    <row r="183" spans="1:12" ht="14.4">
      <c r="A183" s="93" t="str">
        <f ca="1">IFERROR(__xludf.DUMMYFUNCTION("iferror(IFERROR(
HYPERLINK(
  VLOOKUP(
    INDEX(UNIQUE(FLATTEN({'1C'!$X$2:X200,'1C'!$C$2:C200})), ROW(A181)), 
    '1C'!C:O, 13, 0),
  INDEX(UNIQUE(FLATTEN({'1C'!$X$2:X200,'1C'!$C$2:C200})), ROW(A181))),
MATCH(INDEX(UNIQUE(FLATTEN({'1C'!$X$2:X200,'1C'!$C"&amp;"$2:C200})), ROW(A181)), L$3:L200, 0)
),)"),"Pump")</f>
        <v>Pump</v>
      </c>
      <c r="B183" s="111" t="str">
        <f ca="1">IFERROR(
  VLOOKUP(A183, '1C'!C:F, 4, 0),)</f>
        <v>na zamówienie</v>
      </c>
      <c r="C183" s="111" t="str">
        <f ca="1">IFERROR(
  VLOOKUP(A183, '1C'!C:AA, 25, 0),)</f>
        <v>na zamówienie</v>
      </c>
      <c r="D183" s="80" t="str">
        <f ca="1">IFERROR(
  VLOOKUP(A183, '1C'!C:L, 10, 0),)</f>
        <v>Szafa sterownicza dla przepompowni, wg zamówienia</v>
      </c>
      <c r="E183" s="81" t="str">
        <f ca="1">IFERROR(
  VLOOKUP(A183, '1C'!C:R, 16, 0),)</f>
        <v>panel sterowania</v>
      </c>
      <c r="F183" s="82" t="str">
        <f ca="1">IFERROR(
  VLOOKUP(A183, '1C'!C:S, 17, 0),)</f>
        <v>-</v>
      </c>
      <c r="G183" s="83" t="str">
        <f ca="1">IFERROR(
  VLOOKUP(A183, '1C'!C:V, 20, 0),)</f>
        <v>-</v>
      </c>
      <c r="H183" s="81" t="str">
        <f ca="1">IFERROR(
  VLOOKUP(A183, '1C'!C:G, 5, 0),)</f>
        <v>-</v>
      </c>
      <c r="I183" s="90" t="str">
        <f ca="1">IFERROR( VLOOKUP(A183, '1C'!C:I, 7, 0),)</f>
        <v>-</v>
      </c>
      <c r="J183" s="91">
        <f ca="1">IFERROR(
  VLOOKUP(A183, '1C'!C:H, 6, 0),)</f>
        <v>0</v>
      </c>
      <c r="K183" s="86"/>
      <c r="L183" s="92"/>
    </row>
    <row r="184" spans="1:12" ht="14.4">
      <c r="A184" s="93" t="str">
        <f ca="1">IFERROR(__xludf.DUMMYFUNCTION("iferror(IFERROR(
HYPERLINK(
  VLOOKUP(
    INDEX(UNIQUE(FLATTEN({'1C'!$X$2:X200,'1C'!$C$2:C200})), ROW(A182)), 
    '1C'!C:O, 13, 0),
  INDEX(UNIQUE(FLATTEN({'1C'!$X$2:X200,'1C'!$C$2:C200})), ROW(A182))),
MATCH(INDEX(UNIQUE(FLATTEN({'1C'!$X$2:X200,'1C'!$C"&amp;"$2:C200})), ROW(A182)), L$3:L200, 0)
),)"),"Climate")</f>
        <v>Climate</v>
      </c>
      <c r="B184" s="111" t="str">
        <f ca="1">IFERROR(
  VLOOKUP(A184, '1C'!C:F, 4, 0),)</f>
        <v>na zamówienie</v>
      </c>
      <c r="C184" s="111" t="str">
        <f ca="1">IFERROR(
  VLOOKUP(A184, '1C'!C:AA, 25, 0),)</f>
        <v>na zamówienie</v>
      </c>
      <c r="D184" s="80" t="str">
        <f ca="1">IFERROR(
  VLOOKUP(A184, '1C'!C:L, 10, 0),)</f>
        <v>Kontrola klimatu w pomieszczeniach, według zamówienia</v>
      </c>
      <c r="E184" s="81" t="str">
        <f ca="1">IFERROR(
  VLOOKUP(A184, '1C'!C:R, 16, 0),)</f>
        <v>panel sterowania</v>
      </c>
      <c r="F184" s="82" t="str">
        <f ca="1">IFERROR(
  VLOOKUP(A184, '1C'!C:S, 17, 0),)</f>
        <v>-</v>
      </c>
      <c r="G184" s="83" t="str">
        <f ca="1">IFERROR(
  VLOOKUP(A184, '1C'!C:V, 20, 0),)</f>
        <v>-</v>
      </c>
      <c r="H184" s="81" t="str">
        <f ca="1">IFERROR(
  VLOOKUP(A184, '1C'!C:G, 5, 0),)</f>
        <v>-</v>
      </c>
      <c r="I184" s="90" t="str">
        <f ca="1">IFERROR( VLOOKUP(A184, '1C'!C:I, 7, 0),)</f>
        <v>-</v>
      </c>
      <c r="J184" s="91" t="str">
        <f ca="1">IFERROR(
  VLOOKUP(A184, '1C'!C:H, 6, 0),)</f>
        <v>-</v>
      </c>
      <c r="K184" s="86"/>
      <c r="L184" s="92"/>
    </row>
    <row r="185" spans="1:12" ht="14.4">
      <c r="A185" s="93" t="str">
        <f ca="1">IFERROR(__xludf.DUMMYFUNCTION("iferror(IFERROR(
HYPERLINK(
  VLOOKUP(
    INDEX(UNIQUE(FLATTEN({'1C'!$X$2:X200,'1C'!$C$2:C200})), ROW(A183)), 
    '1C'!C:O, 13, 0),
  INDEX(UNIQUE(FLATTEN({'1C'!$X$2:X200,'1C'!$C$2:C200})), ROW(A183))),
MATCH(INDEX(UNIQUE(FLATTEN({'1C'!$X$2:X200,'1C'!$C"&amp;"$2:C200})), ROW(A183)), L$3:L200, 0)
),)"),"Pool")</f>
        <v>Pool</v>
      </c>
      <c r="B185" s="111" t="str">
        <f ca="1">IFERROR(
  VLOOKUP(A185, '1C'!C:F, 4, 0),)</f>
        <v>na zamówienie</v>
      </c>
      <c r="C185" s="111" t="str">
        <f ca="1">IFERROR(
  VLOOKUP(A185, '1C'!C:AA, 25, 0),)</f>
        <v>na zamówienie</v>
      </c>
      <c r="D185" s="80" t="str">
        <f ca="1">IFERROR(
  VLOOKUP(A185, '1C'!C:L, 10, 0),)</f>
        <v>Automatyka sterowania basenem według zamówień</v>
      </c>
      <c r="E185" s="81" t="str">
        <f ca="1">IFERROR(
  VLOOKUP(A185, '1C'!C:R, 16, 0),)</f>
        <v>panel sterowania</v>
      </c>
      <c r="F185" s="82" t="str">
        <f ca="1">IFERROR(
  VLOOKUP(A185, '1C'!C:S, 17, 0),)</f>
        <v>-</v>
      </c>
      <c r="G185" s="83" t="str">
        <f ca="1">IFERROR(
  VLOOKUP(A185, '1C'!C:V, 20, 0),)</f>
        <v>-</v>
      </c>
      <c r="H185" s="81" t="str">
        <f ca="1">IFERROR(
  VLOOKUP(A185, '1C'!C:G, 5, 0),)</f>
        <v>-</v>
      </c>
      <c r="I185" s="90" t="str">
        <f ca="1">IFERROR( VLOOKUP(A185, '1C'!C:I, 7, 0),)</f>
        <v>-</v>
      </c>
      <c r="J185" s="91">
        <f ca="1">IFERROR(
  VLOOKUP(A185, '1C'!C:H, 6, 0),)</f>
        <v>0</v>
      </c>
      <c r="K185" s="86"/>
      <c r="L185" s="92"/>
    </row>
    <row r="186" spans="1:12" ht="14.4">
      <c r="A186" s="93" t="str">
        <f ca="1">IFERROR(__xludf.DUMMYFUNCTION("iferror(IFERROR(
HYPERLINK(
  VLOOKUP(
    INDEX(UNIQUE(FLATTEN({'1C'!$X$2:X200,'1C'!$C$2:C200})), ROW(A184)), 
    '1C'!C:O, 13, 0),
  INDEX(UNIQUE(FLATTEN({'1C'!$X$2:X200,'1C'!$C$2:C200})), ROW(A184))),
MATCH(INDEX(UNIQUE(FLATTEN({'1C'!$X$2:X200,'1C'!$C"&amp;"$2:C200})), ROW(A184)), L$3:L200, 0)
),)"),"Ice")</f>
        <v>Ice</v>
      </c>
      <c r="B186" s="111" t="str">
        <f ca="1">IFERROR(
  VLOOKUP(A186, '1C'!C:F, 4, 0),)</f>
        <v>na zamówienie</v>
      </c>
      <c r="C186" s="111" t="str">
        <f ca="1">IFERROR(
  VLOOKUP(A186, '1C'!C:AA, 25, 0),)</f>
        <v>na zamówienie</v>
      </c>
      <c r="D186" s="80" t="str">
        <f ca="1">IFERROR(
  VLOOKUP(A186, '1C'!C:L, 10, 0),)</f>
        <v>Zdalne sterowanie i monitorowanie urządzeń chłodniczych</v>
      </c>
      <c r="E186" s="81" t="str">
        <f ca="1">IFERROR(
  VLOOKUP(A186, '1C'!C:R, 16, 0),)</f>
        <v>panel sterowania</v>
      </c>
      <c r="F186" s="82" t="str">
        <f ca="1">IFERROR(
  VLOOKUP(A186, '1C'!C:S, 17, 0),)</f>
        <v>-</v>
      </c>
      <c r="G186" s="83" t="str">
        <f ca="1">IFERROR(
  VLOOKUP(A186, '1C'!C:V, 20, 0),)</f>
        <v>-</v>
      </c>
      <c r="H186" s="81" t="str">
        <f ca="1">IFERROR(
  VLOOKUP(A186, '1C'!C:G, 5, 0),)</f>
        <v>-</v>
      </c>
      <c r="I186" s="90" t="str">
        <f ca="1">IFERROR( VLOOKUP(A186, '1C'!C:I, 7, 0),)</f>
        <v>-</v>
      </c>
      <c r="J186" s="91">
        <f ca="1">IFERROR(
  VLOOKUP(A186, '1C'!C:H, 6, 0),)</f>
        <v>0</v>
      </c>
      <c r="K186" s="86"/>
      <c r="L186" s="92"/>
    </row>
    <row r="187" spans="1:12" ht="14.4">
      <c r="A187" s="93" t="str">
        <f ca="1">IFERROR(__xludf.DUMMYFUNCTION("iferror(IFERROR(
HYPERLINK(
  VLOOKUP(
    INDEX(UNIQUE(FLATTEN({'1C'!$X$2:X200,'1C'!$C$2:C200})), ROW(A185)), 
    '1C'!C:O, 13, 0),
  INDEX(UNIQUE(FLATTEN({'1C'!$X$2:X200,'1C'!$C$2:C200})), ROW(A185))),
MATCH(INDEX(UNIQUE(FLATTEN({'1C'!$X$2:X200,'1C'!$C"&amp;"$2:C200})), ROW(A185)), L$3:L200, 0)
),)"),"Smart House")</f>
        <v>Smart House</v>
      </c>
      <c r="B187" s="111" t="str">
        <f ca="1">IFERROR(
  VLOOKUP(A187, '1C'!C:F, 4, 0),)</f>
        <v>na zamówienie</v>
      </c>
      <c r="C187" s="111" t="str">
        <f ca="1">IFERROR(
  VLOOKUP(A187, '1C'!C:AA, 25, 0),)</f>
        <v>na zamówienie</v>
      </c>
      <c r="D187" s="80" t="str">
        <f ca="1">IFERROR(
  VLOOKUP(A187, '1C'!C:L, 10, 0),)</f>
        <v>Płynny dom nad inteligentnym domem</v>
      </c>
      <c r="E187" s="81" t="str">
        <f ca="1">IFERROR(
  VLOOKUP(A187, '1C'!C:R, 16, 0),)</f>
        <v>panel sterowania</v>
      </c>
      <c r="F187" s="82" t="str">
        <f ca="1">IFERROR(
  VLOOKUP(A187, '1C'!C:S, 17, 0),)</f>
        <v>-</v>
      </c>
      <c r="G187" s="83" t="str">
        <f ca="1">IFERROR(
  VLOOKUP(A187, '1C'!C:V, 20, 0),)</f>
        <v>-</v>
      </c>
      <c r="H187" s="81" t="str">
        <f ca="1">IFERROR(
  VLOOKUP(A187, '1C'!C:G, 5, 0),)</f>
        <v>-</v>
      </c>
      <c r="I187" s="90" t="str">
        <f ca="1">IFERROR( VLOOKUP(A187, '1C'!C:I, 7, 0),)</f>
        <v>-</v>
      </c>
      <c r="J187" s="91" t="str">
        <f ca="1">IFERROR(
  VLOOKUP(A187, '1C'!C:H, 6, 0),)</f>
        <v>-</v>
      </c>
      <c r="K187" s="86"/>
      <c r="L187" s="92"/>
    </row>
    <row r="188" spans="1:12" ht="14.4">
      <c r="A188" s="93" t="str">
        <f ca="1">IFERROR(__xludf.DUMMYFUNCTION("iferror(IFERROR(
HYPERLINK(
  VLOOKUP(
    INDEX(UNIQUE(FLATTEN({'1C'!$X$2:X200,'1C'!$C$2:C200})), ROW(A186)), 
    '1C'!C:O, 13, 0),
  INDEX(UNIQUE(FLATTEN({'1C'!$X$2:X200,'1C'!$C$2:C200})), ROW(A186))),
MATCH(INDEX(UNIQUE(FLATTEN({'1C'!$X$2:X200,'1C'!$C"&amp;"$2:C200})), ROW(A186)), L$3:L200, 0)
),)"),"Heat")</f>
        <v>Heat</v>
      </c>
      <c r="B188" s="111" t="str">
        <f ca="1">IFERROR(
  VLOOKUP(A188, '1C'!C:F, 4, 0),)</f>
        <v>na zamówienie</v>
      </c>
      <c r="C188" s="111" t="str">
        <f ca="1">IFERROR(
  VLOOKUP(A188, '1C'!C:AA, 25, 0),)</f>
        <v>na zamówienie</v>
      </c>
      <c r="D188" s="80" t="str">
        <f ca="1">IFERROR(
  VLOOKUP(A188, '1C'!C:L, 10, 0),)</f>
        <v>Sterowanie ogrzewaniem elektrycznym i ogrzewaniem wody overvis electroheat</v>
      </c>
      <c r="E188" s="81" t="str">
        <f ca="1">IFERROR(
  VLOOKUP(A188, '1C'!C:R, 16, 0),)</f>
        <v>panel sterowania</v>
      </c>
      <c r="F188" s="82" t="str">
        <f ca="1">IFERROR(
  VLOOKUP(A188, '1C'!C:S, 17, 0),)</f>
        <v>-</v>
      </c>
      <c r="G188" s="83" t="str">
        <f ca="1">IFERROR(
  VLOOKUP(A188, '1C'!C:V, 20, 0),)</f>
        <v>-</v>
      </c>
      <c r="H188" s="81" t="str">
        <f ca="1">IFERROR(
  VLOOKUP(A188, '1C'!C:G, 5, 0),)</f>
        <v>-</v>
      </c>
      <c r="I188" s="90" t="str">
        <f ca="1">IFERROR( VLOOKUP(A188, '1C'!C:I, 7, 0),)</f>
        <v>-</v>
      </c>
      <c r="J188" s="91">
        <f ca="1">IFERROR(
  VLOOKUP(A188, '1C'!C:H, 6, 0),)</f>
        <v>0</v>
      </c>
      <c r="K188" s="86"/>
      <c r="L188" s="92"/>
    </row>
    <row r="189" spans="1:12" ht="14.4">
      <c r="A189" s="93" t="str">
        <f ca="1">IFERROR(__xludf.DUMMYFUNCTION("iferror(IFERROR(
HYPERLINK(
  VLOOKUP(
    INDEX(UNIQUE(FLATTEN({'1C'!$X$2:X200,'1C'!$C$2:C200})), ROW(A187)), 
    '1C'!C:O, 13, 0),
  INDEX(UNIQUE(FLATTEN({'1C'!$X$2:X200,'1C'!$C$2:C200})), ROW(A187))),
MATCH(INDEX(UNIQUE(FLATTEN({'1C'!$X$2:X200,'1C'!$C"&amp;"$2:C200})), ROW(A187)), L$3:L200, 0)
),)"),"Village")</f>
        <v>Village</v>
      </c>
      <c r="B189" s="111" t="str">
        <f ca="1">IFERROR(
  VLOOKUP(A189, '1C'!C:F, 4, 0),)</f>
        <v>na zamówienie</v>
      </c>
      <c r="C189" s="111" t="str">
        <f ca="1">IFERROR(
  VLOOKUP(A189, '1C'!C:AA, 25, 0),)</f>
        <v>na zamówienie</v>
      </c>
      <c r="D189" s="80" t="str">
        <f ca="1">IFERROR(
  VLOOKUP(A189, '1C'!C:L, 10, 0),)</f>
        <v>Zarządzanie i ochrona sieci elektroenergetycznej w wiosce domków letniskowych Overvis</v>
      </c>
      <c r="E189" s="81" t="str">
        <f ca="1">IFERROR(
  VLOOKUP(A189, '1C'!C:R, 16, 0),)</f>
        <v>panel sterowania</v>
      </c>
      <c r="F189" s="82" t="str">
        <f ca="1">IFERROR(
  VLOOKUP(A189, '1C'!C:S, 17, 0),)</f>
        <v>-</v>
      </c>
      <c r="G189" s="83" t="str">
        <f ca="1">IFERROR(
  VLOOKUP(A189, '1C'!C:V, 20, 0),)</f>
        <v>-</v>
      </c>
      <c r="H189" s="81" t="str">
        <f ca="1">IFERROR(
  VLOOKUP(A189, '1C'!C:G, 5, 0),)</f>
        <v>-</v>
      </c>
      <c r="I189" s="90" t="str">
        <f ca="1">IFERROR( VLOOKUP(A189, '1C'!C:I, 7, 0),)</f>
        <v>-</v>
      </c>
      <c r="J189" s="91">
        <f ca="1">IFERROR(
  VLOOKUP(A189, '1C'!C:H, 6, 0),)</f>
        <v>0</v>
      </c>
      <c r="K189" s="86"/>
      <c r="L189" s="92"/>
    </row>
    <row r="190" spans="1:12" ht="14.4">
      <c r="A190" s="93" t="str">
        <f ca="1">IFERROR(__xludf.DUMMYFUNCTION("iferror(IFERROR(
HYPERLINK(
  VLOOKUP(
    INDEX(UNIQUE(FLATTEN({'1C'!$X$2:X200,'1C'!$C$2:C200})), ROW(A188)), 
    '1C'!C:O, 13, 0),
  INDEX(UNIQUE(FLATTEN({'1C'!$X$2:X200,'1C'!$C$2:C200})), ROW(A188))),
MATCH(INDEX(UNIQUE(FLATTEN({'1C'!$X$2:X200,'1C'!$C"&amp;"$2:C200})), ROW(A188)), L$3:L200, 0)
),)"),"")</f>
        <v/>
      </c>
      <c r="B190" s="111">
        <f ca="1">IFERROR(
  VLOOKUP(A190, '1C'!C:F, 4, 0),)</f>
        <v>0</v>
      </c>
      <c r="C190" s="111"/>
      <c r="D190" s="80">
        <f ca="1">IFERROR(
  VLOOKUP(A190, '1C'!C:L, 10, 0),)</f>
        <v>0</v>
      </c>
      <c r="E190" s="81">
        <f ca="1">IFERROR(
  VLOOKUP(A190, '1C'!C:R, 16, 0),)</f>
        <v>0</v>
      </c>
      <c r="F190" s="82">
        <f ca="1">IFERROR(
  VLOOKUP(A190, '1C'!C:S, 17, 0),)</f>
        <v>0</v>
      </c>
      <c r="G190" s="83">
        <f ca="1">IFERROR(
  VLOOKUP(A190, '1C'!C:V, 20, 0),)</f>
        <v>0</v>
      </c>
      <c r="H190" s="81">
        <f ca="1">IFERROR(
  VLOOKUP(A190, '1C'!C:G, 5, 0),)</f>
        <v>0</v>
      </c>
      <c r="I190" s="90">
        <f ca="1">IFERROR( VLOOKUP(A190, '1C'!C:I, 7, 0),)</f>
        <v>0</v>
      </c>
      <c r="J190" s="91">
        <f ca="1">IFERROR(
  VLOOKUP(A190, '1C'!C:H, 6, 0),)</f>
        <v>0</v>
      </c>
      <c r="K190" s="86"/>
      <c r="L190" s="92"/>
    </row>
    <row r="191" spans="1:12" ht="14.4">
      <c r="A191" s="93" t="str">
        <f ca="1">IFERROR(__xludf.DUMMYFUNCTION("iferror(IFERROR(
HYPERLINK(
  VLOOKUP(
    INDEX(UNIQUE(FLATTEN({'1C'!$X$2:X200,'1C'!$C$2:C200})), ROW(A189)), 
    '1C'!C:O, 13, 0),
  INDEX(UNIQUE(FLATTEN({'1C'!$X$2:X200,'1C'!$C$2:C200})), ROW(A189))),
MATCH(INDEX(UNIQUE(FLATTEN({'1C'!$X$2:X200,'1C'!$C"&amp;"$2:C200})), ROW(A189)), L$3:L200, 0)
),)"),"")</f>
        <v/>
      </c>
      <c r="B191" s="111">
        <f ca="1">IFERROR(
  VLOOKUP(A191, '1C'!C:F, 4, 0),)</f>
        <v>0</v>
      </c>
      <c r="C191" s="111"/>
      <c r="D191" s="80">
        <f ca="1">IFERROR(
  VLOOKUP(A191, '1C'!C:L, 10, 0),)</f>
        <v>0</v>
      </c>
      <c r="E191" s="81">
        <f ca="1">IFERROR(
  VLOOKUP(A191, '1C'!C:R, 16, 0),)</f>
        <v>0</v>
      </c>
      <c r="F191" s="82">
        <f ca="1">IFERROR(
  VLOOKUP(A191, '1C'!C:S, 17, 0),)</f>
        <v>0</v>
      </c>
      <c r="G191" s="83">
        <f ca="1">IFERROR(
  VLOOKUP(A191, '1C'!C:V, 20, 0),)</f>
        <v>0</v>
      </c>
      <c r="H191" s="81">
        <f ca="1">IFERROR(
  VLOOKUP(A191, '1C'!C:G, 5, 0),)</f>
        <v>0</v>
      </c>
      <c r="I191" s="90">
        <f ca="1">IFERROR( VLOOKUP(A191, '1C'!C:I, 7, 0),)</f>
        <v>0</v>
      </c>
      <c r="J191" s="91">
        <f ca="1">IFERROR(
  VLOOKUP(A191, '1C'!C:H, 6, 0),)</f>
        <v>0</v>
      </c>
      <c r="K191" s="86"/>
      <c r="L191" s="92"/>
    </row>
    <row r="192" spans="1:12" ht="14.4">
      <c r="A192" s="93" t="str">
        <f ca="1">IFERROR(__xludf.DUMMYFUNCTION("iferror(IFERROR(
HYPERLINK(
  VLOOKUP(
    INDEX(UNIQUE(FLATTEN({'1C'!$X$2:X200,'1C'!$C$2:C200})), ROW(A190)), 
    '1C'!C:O, 13, 0),
  INDEX(UNIQUE(FLATTEN({'1C'!$X$2:X200,'1C'!$C$2:C200})), ROW(A190))),
MATCH(INDEX(UNIQUE(FLATTEN({'1C'!$X$2:X200,'1C'!$C"&amp;"$2:C200})), ROW(A190)), L$3:L200, 0)
),)"),"")</f>
        <v/>
      </c>
      <c r="B192" s="111">
        <f ca="1">IFERROR(
  VLOOKUP(A192, '1C'!C:F, 4, 0),)</f>
        <v>0</v>
      </c>
      <c r="C192" s="111"/>
      <c r="D192" s="80">
        <f ca="1">IFERROR(
  VLOOKUP(A192, '1C'!C:L, 10, 0),)</f>
        <v>0</v>
      </c>
      <c r="E192" s="81">
        <f ca="1">IFERROR(
  VLOOKUP(A192, '1C'!C:R, 16, 0),)</f>
        <v>0</v>
      </c>
      <c r="F192" s="82">
        <f ca="1">IFERROR(
  VLOOKUP(A192, '1C'!C:S, 17, 0),)</f>
        <v>0</v>
      </c>
      <c r="G192" s="83">
        <f ca="1">IFERROR(
  VLOOKUP(A192, '1C'!C:V, 20, 0),)</f>
        <v>0</v>
      </c>
      <c r="H192" s="81">
        <f ca="1">IFERROR(
  VLOOKUP(A192, '1C'!C:G, 5, 0),)</f>
        <v>0</v>
      </c>
      <c r="I192" s="90">
        <f ca="1">IFERROR( VLOOKUP(A192, '1C'!C:I, 7, 0),)</f>
        <v>0</v>
      </c>
      <c r="J192" s="91">
        <f ca="1">IFERROR(
  VLOOKUP(A192, '1C'!C:H, 6, 0),)</f>
        <v>0</v>
      </c>
      <c r="K192" s="86"/>
      <c r="L192" s="92"/>
    </row>
    <row r="193" spans="1:12" ht="14.4">
      <c r="A193" s="93" t="str">
        <f ca="1">IFERROR(__xludf.DUMMYFUNCTION("iferror(IFERROR(
HYPERLINK(
  VLOOKUP(
    INDEX(UNIQUE(FLATTEN({'1C'!$X$2:X200,'1C'!$C$2:C200})), ROW(A191)), 
    '1C'!C:O, 13, 0),
  INDEX(UNIQUE(FLATTEN({'1C'!$X$2:X200,'1C'!$C$2:C200})), ROW(A191))),
MATCH(INDEX(UNIQUE(FLATTEN({'1C'!$X$2:X200,'1C'!$C"&amp;"$2:C200})), ROW(A191)), L$3:L200, 0)
),)"),"")</f>
        <v/>
      </c>
      <c r="B193" s="111">
        <f ca="1">IFERROR(
  VLOOKUP(A193, '1C'!C:F, 4, 0),)</f>
        <v>0</v>
      </c>
      <c r="C193" s="111"/>
      <c r="D193" s="80">
        <f ca="1">IFERROR(
  VLOOKUP(A193, '1C'!C:L, 10, 0),)</f>
        <v>0</v>
      </c>
      <c r="E193" s="81">
        <f ca="1">IFERROR(
  VLOOKUP(A193, '1C'!C:R, 16, 0),)</f>
        <v>0</v>
      </c>
      <c r="F193" s="82">
        <f ca="1">IFERROR(
  VLOOKUP(A193, '1C'!C:S, 17, 0),)</f>
        <v>0</v>
      </c>
      <c r="G193" s="83">
        <f ca="1">IFERROR(
  VLOOKUP(A193, '1C'!C:V, 20, 0),)</f>
        <v>0</v>
      </c>
      <c r="H193" s="81">
        <f ca="1">IFERROR(
  VLOOKUP(A193, '1C'!C:G, 5, 0),)</f>
        <v>0</v>
      </c>
      <c r="I193" s="90">
        <f ca="1">IFERROR( VLOOKUP(A193, '1C'!C:I, 7, 0),)</f>
        <v>0</v>
      </c>
      <c r="J193" s="91">
        <f ca="1">IFERROR(
  VLOOKUP(A193, '1C'!C:H, 6, 0),)</f>
        <v>0</v>
      </c>
      <c r="K193" s="86"/>
      <c r="L193" s="92"/>
    </row>
    <row r="194" spans="1:12" ht="14.4">
      <c r="A194" s="93" t="str">
        <f ca="1">IFERROR(__xludf.DUMMYFUNCTION("iferror(IFERROR(
HYPERLINK(
  VLOOKUP(
    INDEX(UNIQUE(FLATTEN({'1C'!$X$2:X200,'1C'!$C$2:C200})), ROW(A192)), 
    '1C'!C:O, 13, 0),
  INDEX(UNIQUE(FLATTEN({'1C'!$X$2:X200,'1C'!$C$2:C200})), ROW(A192))),
MATCH(INDEX(UNIQUE(FLATTEN({'1C'!$X$2:X200,'1C'!$C"&amp;"$2:C200})), ROW(A192)), L$3:L200, 0)
),)"),"")</f>
        <v/>
      </c>
      <c r="B194" s="111">
        <f ca="1">IFERROR(
  VLOOKUP(A194, '1C'!C:F, 4, 0),)</f>
        <v>0</v>
      </c>
      <c r="C194" s="111"/>
      <c r="D194" s="80">
        <f ca="1">IFERROR(
  VLOOKUP(A194, '1C'!C:L, 10, 0),)</f>
        <v>0</v>
      </c>
      <c r="E194" s="81">
        <f ca="1">IFERROR(
  VLOOKUP(A194, '1C'!C:R, 16, 0),)</f>
        <v>0</v>
      </c>
      <c r="F194" s="82">
        <f ca="1">IFERROR(
  VLOOKUP(A194, '1C'!C:S, 17, 0),)</f>
        <v>0</v>
      </c>
      <c r="G194" s="83">
        <f ca="1">IFERROR(
  VLOOKUP(A194, '1C'!C:V, 20, 0),)</f>
        <v>0</v>
      </c>
      <c r="H194" s="81">
        <f ca="1">IFERROR(
  VLOOKUP(A194, '1C'!C:G, 5, 0),)</f>
        <v>0</v>
      </c>
      <c r="I194" s="90">
        <f ca="1">IFERROR( VLOOKUP(A194, '1C'!C:I, 7, 0),)</f>
        <v>0</v>
      </c>
      <c r="J194" s="91">
        <f ca="1">IFERROR(
  VLOOKUP(A194, '1C'!C:H, 6, 0),)</f>
        <v>0</v>
      </c>
      <c r="K194" s="86"/>
      <c r="L194" s="92"/>
    </row>
    <row r="195" spans="1:12" ht="14.4">
      <c r="A195" s="93" t="str">
        <f ca="1">IFERROR(__xludf.DUMMYFUNCTION("iferror(IFERROR(
HYPERLINK(
  VLOOKUP(
    INDEX(UNIQUE(FLATTEN({'1C'!$X$2:X200,'1C'!$C$2:C200})), ROW(A193)), 
    '1C'!C:O, 13, 0),
  INDEX(UNIQUE(FLATTEN({'1C'!$X$2:X200,'1C'!$C$2:C200})), ROW(A193))),
MATCH(INDEX(UNIQUE(FLATTEN({'1C'!$X$2:X200,'1C'!$C"&amp;"$2:C200})), ROW(A193)), L$3:L200, 0)
),)"),"")</f>
        <v/>
      </c>
      <c r="B195" s="111">
        <f ca="1">IFERROR(
  VLOOKUP(A195, '1C'!C:F, 4, 0),)</f>
        <v>0</v>
      </c>
      <c r="C195" s="111"/>
      <c r="D195" s="80">
        <f ca="1">IFERROR(
  VLOOKUP(A195, '1C'!C:L, 10, 0),)</f>
        <v>0</v>
      </c>
      <c r="E195" s="81">
        <f ca="1">IFERROR(
  VLOOKUP(A195, '1C'!C:R, 16, 0),)</f>
        <v>0</v>
      </c>
      <c r="F195" s="82">
        <f ca="1">IFERROR(
  VLOOKUP(A195, '1C'!C:S, 17, 0),)</f>
        <v>0</v>
      </c>
      <c r="G195" s="83">
        <f ca="1">IFERROR(
  VLOOKUP(A195, '1C'!C:V, 20, 0),)</f>
        <v>0</v>
      </c>
      <c r="H195" s="81">
        <f ca="1">IFERROR(
  VLOOKUP(A195, '1C'!C:G, 5, 0),)</f>
        <v>0</v>
      </c>
      <c r="I195" s="90">
        <f ca="1">IFERROR( VLOOKUP(A195, '1C'!C:I, 7, 0),)</f>
        <v>0</v>
      </c>
      <c r="J195" s="91">
        <f ca="1">IFERROR(
  VLOOKUP(A195, '1C'!C:H, 6, 0),)</f>
        <v>0</v>
      </c>
      <c r="K195" s="86"/>
      <c r="L195" s="92"/>
    </row>
    <row r="196" spans="1:12" ht="14.4">
      <c r="A196" s="93" t="str">
        <f ca="1">IFERROR(__xludf.DUMMYFUNCTION("iferror(IFERROR(
HYPERLINK(
  VLOOKUP(
    INDEX(UNIQUE(FLATTEN({'1C'!$X$2:X200,'1C'!$C$2:C200})), ROW(A194)), 
    '1C'!C:O, 13, 0),
  INDEX(UNIQUE(FLATTEN({'1C'!$X$2:X200,'1C'!$C$2:C200})), ROW(A194))),
MATCH(INDEX(UNIQUE(FLATTEN({'1C'!$X$2:X200,'1C'!$C"&amp;"$2:C200})), ROW(A194)), L$3:L200, 0)
),)"),"")</f>
        <v/>
      </c>
      <c r="B196" s="111">
        <f ca="1">IFERROR(
  VLOOKUP(A196, '1C'!C:F, 4, 0),)</f>
        <v>0</v>
      </c>
      <c r="C196" s="111"/>
      <c r="D196" s="80">
        <f ca="1">IFERROR(
  VLOOKUP(A196, '1C'!C:L, 10, 0),)</f>
        <v>0</v>
      </c>
      <c r="E196" s="81">
        <f ca="1">IFERROR(
  VLOOKUP(A196, '1C'!C:R, 16, 0),)</f>
        <v>0</v>
      </c>
      <c r="F196" s="82">
        <f ca="1">IFERROR(
  VLOOKUP(A196, '1C'!C:S, 17, 0),)</f>
        <v>0</v>
      </c>
      <c r="G196" s="83">
        <f ca="1">IFERROR(
  VLOOKUP(A196, '1C'!C:V, 20, 0),)</f>
        <v>0</v>
      </c>
      <c r="H196" s="81">
        <f ca="1">IFERROR(
  VLOOKUP(A196, '1C'!C:G, 5, 0),)</f>
        <v>0</v>
      </c>
      <c r="I196" s="90">
        <f ca="1">IFERROR( VLOOKUP(A196, '1C'!C:I, 7, 0),)</f>
        <v>0</v>
      </c>
      <c r="J196" s="91">
        <f ca="1">IFERROR(
  VLOOKUP(A196, '1C'!C:H, 6, 0),)</f>
        <v>0</v>
      </c>
      <c r="K196" s="86"/>
      <c r="L196" s="92"/>
    </row>
    <row r="197" spans="1:12" ht="14.4">
      <c r="A197" s="93" t="str">
        <f ca="1">IFERROR(__xludf.DUMMYFUNCTION("iferror(IFERROR(
HYPERLINK(
  VLOOKUP(
    INDEX(UNIQUE(FLATTEN({'1C'!$X$2:X200,'1C'!$C$2:C200})), ROW(A195)), 
    '1C'!C:O, 13, 0),
  INDEX(UNIQUE(FLATTEN({'1C'!$X$2:X200,'1C'!$C$2:C200})), ROW(A195))),
MATCH(INDEX(UNIQUE(FLATTEN({'1C'!$X$2:X200,'1C'!$C"&amp;"$2:C200})), ROW(A195)), L$3:L200, 0)
),)"),"")</f>
        <v/>
      </c>
      <c r="B197" s="111">
        <f ca="1">IFERROR(
  VLOOKUP(A197, '1C'!C:F, 4, 0),)</f>
        <v>0</v>
      </c>
      <c r="C197" s="111"/>
      <c r="D197" s="80">
        <f ca="1">IFERROR(
  VLOOKUP(A197, '1C'!C:L, 10, 0),)</f>
        <v>0</v>
      </c>
      <c r="E197" s="81">
        <f ca="1">IFERROR(
  VLOOKUP(A197, '1C'!C:R, 16, 0),)</f>
        <v>0</v>
      </c>
      <c r="F197" s="82">
        <f ca="1">IFERROR(
  VLOOKUP(A197, '1C'!C:S, 17, 0),)</f>
        <v>0</v>
      </c>
      <c r="G197" s="83">
        <f ca="1">IFERROR(
  VLOOKUP(A197, '1C'!C:V, 20, 0),)</f>
        <v>0</v>
      </c>
      <c r="H197" s="81">
        <f ca="1">IFERROR(
  VLOOKUP(A197, '1C'!C:G, 5, 0),)</f>
        <v>0</v>
      </c>
      <c r="I197" s="90">
        <f ca="1">IFERROR( VLOOKUP(A197, '1C'!C:I, 7, 0),)</f>
        <v>0</v>
      </c>
      <c r="J197" s="91">
        <f ca="1">IFERROR(
  VLOOKUP(A197, '1C'!C:H, 6, 0),)</f>
        <v>0</v>
      </c>
      <c r="K197" s="86"/>
      <c r="L197" s="92"/>
    </row>
    <row r="198" spans="1:12" ht="14.4">
      <c r="A198" s="93" t="str">
        <f ca="1">IFERROR(__xludf.DUMMYFUNCTION("iferror(IFERROR(
HYPERLINK(
  VLOOKUP(
    INDEX(UNIQUE(FLATTEN({'1C'!$X$2:X200,'1C'!$C$2:C200})), ROW(A196)), 
    '1C'!C:O, 13, 0),
  INDEX(UNIQUE(FLATTEN({'1C'!$X$2:X200,'1C'!$C$2:C200})), ROW(A196))),
MATCH(INDEX(UNIQUE(FLATTEN({'1C'!$X$2:X200,'1C'!$C"&amp;"$2:C200})), ROW(A196)), L$3:L200, 0)
),)"),"")</f>
        <v/>
      </c>
      <c r="B198" s="111">
        <f ca="1">IFERROR(
  VLOOKUP(A198, '1C'!C:F, 4, 0),)</f>
        <v>0</v>
      </c>
      <c r="C198" s="111"/>
      <c r="D198" s="80">
        <f ca="1">IFERROR(
  VLOOKUP(A198, '1C'!C:L, 10, 0),)</f>
        <v>0</v>
      </c>
      <c r="E198" s="81">
        <f ca="1">IFERROR(
  VLOOKUP(A198, '1C'!C:R, 16, 0),)</f>
        <v>0</v>
      </c>
      <c r="F198" s="82">
        <f ca="1">IFERROR(
  VLOOKUP(A198, '1C'!C:S, 17, 0),)</f>
        <v>0</v>
      </c>
      <c r="G198" s="83">
        <f ca="1">IFERROR(
  VLOOKUP(A198, '1C'!C:V, 20, 0),)</f>
        <v>0</v>
      </c>
      <c r="H198" s="81">
        <f ca="1">IFERROR(
  VLOOKUP(A198, '1C'!C:G, 5, 0),)</f>
        <v>0</v>
      </c>
      <c r="I198" s="90">
        <f ca="1">IFERROR( VLOOKUP(A198, '1C'!C:I, 7, 0),)</f>
        <v>0</v>
      </c>
      <c r="J198" s="91">
        <f ca="1">IFERROR(
  VLOOKUP(A198, '1C'!C:H, 6, 0),)</f>
        <v>0</v>
      </c>
      <c r="K198" s="86"/>
      <c r="L198" s="92"/>
    </row>
    <row r="199" spans="1:12" ht="14.4">
      <c r="A199" s="93" t="str">
        <f ca="1">IFERROR(__xludf.DUMMYFUNCTION("iferror(IFERROR(
HYPERLINK(
  VLOOKUP(
    INDEX(UNIQUE(FLATTEN({'1C'!$X$2:X200,'1C'!$C$2:C200})), ROW(A197)), 
    '1C'!C:O, 13, 0),
  INDEX(UNIQUE(FLATTEN({'1C'!$X$2:X200,'1C'!$C$2:C200})), ROW(A197))),
MATCH(INDEX(UNIQUE(FLATTEN({'1C'!$X$2:X200,'1C'!$C"&amp;"$2:C200})), ROW(A197)), L$3:L200, 0)
),)"),"")</f>
        <v/>
      </c>
      <c r="B199" s="111">
        <f ca="1">IFERROR(
  VLOOKUP(A199, '1C'!C:F, 4, 0),)</f>
        <v>0</v>
      </c>
      <c r="C199" s="111"/>
      <c r="D199" s="80">
        <f ca="1">IFERROR(
  VLOOKUP(A199, '1C'!C:L, 10, 0),)</f>
        <v>0</v>
      </c>
      <c r="E199" s="81">
        <f ca="1">IFERROR(
  VLOOKUP(A199, '1C'!C:R, 16, 0),)</f>
        <v>0</v>
      </c>
      <c r="F199" s="82">
        <f ca="1">IFERROR(
  VLOOKUP(A199, '1C'!C:S, 17, 0),)</f>
        <v>0</v>
      </c>
      <c r="G199" s="83">
        <f ca="1">IFERROR(
  VLOOKUP(A199, '1C'!C:V, 20, 0),)</f>
        <v>0</v>
      </c>
      <c r="H199" s="81">
        <f ca="1">IFERROR(
  VLOOKUP(A199, '1C'!C:G, 5, 0),)</f>
        <v>0</v>
      </c>
      <c r="I199" s="90">
        <f ca="1">IFERROR( VLOOKUP(A199, '1C'!C:I, 7, 0),)</f>
        <v>0</v>
      </c>
      <c r="J199" s="91">
        <f ca="1">IFERROR(
  VLOOKUP(A199, '1C'!C:H, 6, 0),)</f>
        <v>0</v>
      </c>
      <c r="K199" s="86"/>
      <c r="L199" s="92"/>
    </row>
    <row r="200" spans="1:12" ht="14.4">
      <c r="A200" s="93" t="str">
        <f ca="1">IFERROR(__xludf.DUMMYFUNCTION("iferror(IFERROR(
HYPERLINK(
  VLOOKUP(
    INDEX(UNIQUE(FLATTEN({'1C'!$X$2:X200,'1C'!$C$2:C200})), ROW(A198)), 
    '1C'!C:O, 13, 0),
  INDEX(UNIQUE(FLATTEN({'1C'!$X$2:X200,'1C'!$C$2:C200})), ROW(A198))),
MATCH(INDEX(UNIQUE(FLATTEN({'1C'!$X$2:X200,'1C'!$C"&amp;"$2:C200})), ROW(A198)), L$3:L200, 0)
),)"),"")</f>
        <v/>
      </c>
      <c r="B200" s="111">
        <f ca="1">IFERROR(
  VLOOKUP(A200, '1C'!C:F, 4, 0),)</f>
        <v>0</v>
      </c>
      <c r="C200" s="111"/>
      <c r="D200" s="80">
        <f ca="1">IFERROR(
  VLOOKUP(A200, '1C'!C:L, 10, 0),)</f>
        <v>0</v>
      </c>
      <c r="E200" s="81">
        <f ca="1">IFERROR(
  VLOOKUP(A200, '1C'!C:R, 16, 0),)</f>
        <v>0</v>
      </c>
      <c r="F200" s="82">
        <f ca="1">IFERROR(
  VLOOKUP(A200, '1C'!C:S, 17, 0),)</f>
        <v>0</v>
      </c>
      <c r="G200" s="83">
        <f ca="1">IFERROR(
  VLOOKUP(A200, '1C'!C:V, 20, 0),)</f>
        <v>0</v>
      </c>
      <c r="H200" s="81">
        <f ca="1">IFERROR(
  VLOOKUP(A200, '1C'!C:G, 5, 0),)</f>
        <v>0</v>
      </c>
      <c r="I200" s="90">
        <f ca="1">IFERROR( VLOOKUP(A200, '1C'!C:I, 7, 0),)</f>
        <v>0</v>
      </c>
      <c r="J200" s="91">
        <f ca="1">IFERROR(
  VLOOKUP(A200, '1C'!C:H, 6, 0),)</f>
        <v>0</v>
      </c>
      <c r="K200" s="86"/>
      <c r="L200" s="92"/>
    </row>
  </sheetData>
  <mergeCells count="3">
    <mergeCell ref="A1:D1"/>
    <mergeCell ref="E1:G1"/>
    <mergeCell ref="H1:J1"/>
  </mergeCells>
  <conditionalFormatting sqref="A3:J200">
    <cfRule type="expression" dxfId="1" priority="1">
      <formula>NOT(ISERROR(MATCH($A3, $L$3:L200, 0)))</formula>
    </cfRule>
  </conditionalFormatting>
  <conditionalFormatting sqref="C4:C199">
    <cfRule type="cellIs" dxfId="0" priority="2" operator="notEqual">
      <formula>B4</formula>
    </cfRule>
  </conditionalFormatting>
  <pageMargins left="0" right="0" top="8.7604943421807385E-2" bottom="0.28626718270385698" header="0" footer="0"/>
  <pageSetup paperSize="9" fitToHeight="0"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1C</vt:lpstr>
      <vt:lpstr>UA</vt:lpstr>
      <vt:lpstr>EN</vt:lpstr>
      <vt:lpstr>PL</vt:lpstr>
      <vt:lpstr>EN!Excel_BuiltIn_Print_Area</vt:lpstr>
      <vt:lpstr>PL!Excel_BuiltIn_Print_Area</vt:lpstr>
      <vt:lpstr>UA!Excel_BuiltIn_Print_Area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2024-01-22T17:12:37Z</dcterms:created>
  <dcterms:modified xsi:type="dcterms:W3CDTF">2024-01-22T17:14:47Z</dcterms:modified>
</cp:coreProperties>
</file>